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jpeg" ContentType="image/jpeg"/>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285" yWindow="30" windowWidth="23235" windowHeight="11430" tabRatio="855" activeTab="1"/>
  </bookViews>
  <sheets>
    <sheet name="Introduction" sheetId="7" r:id="rId1"/>
    <sheet name="User Input" sheetId="1" r:id="rId2"/>
    <sheet name="Calculate daily water usage" sheetId="6" r:id="rId3"/>
    <sheet name="Inputs for Jacket Loss" sheetId="2" r:id="rId4"/>
    <sheet name="Jacket Loss Calculations" sheetId="4" r:id="rId5"/>
    <sheet name="Payback Calculations" sheetId="5" r:id="rId6"/>
    <sheet name="AkWarm 2011 Prices" sheetId="3" r:id="rId7"/>
  </sheets>
  <calcPr calcId="125725" iterate="1"/>
</workbook>
</file>

<file path=xl/calcChain.xml><?xml version="1.0" encoding="utf-8"?>
<calcChain xmlns="http://schemas.openxmlformats.org/spreadsheetml/2006/main">
  <c r="B2" i="5"/>
  <c r="C24" i="1"/>
  <c r="I18" i="5"/>
  <c r="L15"/>
  <c r="L14"/>
  <c r="L13"/>
  <c r="J15"/>
  <c r="J14"/>
  <c r="J13"/>
  <c r="L12"/>
  <c r="J12"/>
  <c r="L11"/>
  <c r="J18" s="1"/>
  <c r="J11"/>
  <c r="C23"/>
  <c r="B6" i="1"/>
  <c r="B15"/>
  <c r="B1" i="2" s="1"/>
  <c r="B2" s="1"/>
  <c r="B3" i="4" s="1"/>
  <c r="D8" i="6"/>
  <c r="D9"/>
  <c r="D10"/>
  <c r="D11"/>
  <c r="D12"/>
  <c r="D13"/>
  <c r="D7"/>
  <c r="G23" i="5"/>
  <c r="G21"/>
  <c r="G18"/>
  <c r="B10"/>
  <c r="B8"/>
  <c r="B7"/>
  <c r="B5"/>
  <c r="B4"/>
  <c r="F2"/>
  <c r="C29" i="1"/>
  <c r="C28"/>
  <c r="C27"/>
  <c r="C26"/>
  <c r="C25"/>
  <c r="B12" i="4"/>
  <c r="B4"/>
  <c r="B7" i="2"/>
  <c r="B8" s="1"/>
  <c r="B21"/>
  <c r="B22" s="1"/>
  <c r="B18"/>
  <c r="B19" s="1"/>
  <c r="C14" i="1"/>
  <c r="B11" i="2"/>
  <c r="B12" s="1"/>
  <c r="C15" i="1"/>
  <c r="A15"/>
  <c r="A14"/>
  <c r="C6"/>
  <c r="A6"/>
  <c r="C5"/>
  <c r="A5"/>
  <c r="F3" i="5" l="1"/>
  <c r="F4" s="1"/>
  <c r="F7" s="1"/>
  <c r="D16" i="6"/>
  <c r="F29" i="5"/>
  <c r="B23" i="2"/>
  <c r="B7" i="4" s="1"/>
  <c r="B20" i="2"/>
  <c r="B6" i="4" s="1"/>
  <c r="B14" i="2"/>
  <c r="B15" s="1"/>
  <c r="B5" i="4" s="1"/>
  <c r="B14" s="1"/>
  <c r="B16" s="1"/>
  <c r="F8" i="5" l="1"/>
  <c r="F20" s="1"/>
  <c r="F21" s="1"/>
  <c r="I14" i="4"/>
  <c r="L14"/>
  <c r="L16"/>
  <c r="I17"/>
  <c r="I20"/>
  <c r="I23"/>
  <c r="I26"/>
  <c r="I31"/>
  <c r="F11" i="5"/>
  <c r="F12"/>
  <c r="F17"/>
  <c r="F18"/>
  <c r="F23"/>
  <c r="F24"/>
  <c r="F25"/>
  <c r="J29"/>
  <c r="J30"/>
  <c r="F31"/>
  <c r="B20" i="1"/>
  <c r="B22"/>
  <c r="B24"/>
  <c r="B25"/>
  <c r="B26"/>
  <c r="B27"/>
  <c r="B28"/>
  <c r="B29"/>
  <c r="B47"/>
  <c r="B51"/>
</calcChain>
</file>

<file path=xl/sharedStrings.xml><?xml version="1.0" encoding="utf-8"?>
<sst xmlns="http://schemas.openxmlformats.org/spreadsheetml/2006/main" count="285" uniqueCount="190">
  <si>
    <t>Enter your location:</t>
  </si>
  <si>
    <t>Enter the fuel you use for hot water:</t>
  </si>
  <si>
    <t>Do you know the price of your fuel?</t>
  </si>
  <si>
    <t>UNIT</t>
  </si>
  <si>
    <t>Units</t>
  </si>
  <si>
    <t>Anchorage</t>
  </si>
  <si>
    <t>Fairbanks</t>
  </si>
  <si>
    <t>Wasilla</t>
  </si>
  <si>
    <t>Seward</t>
  </si>
  <si>
    <t>Juneau</t>
  </si>
  <si>
    <t>Electricity</t>
  </si>
  <si>
    <t>$/kWh</t>
  </si>
  <si>
    <t>Fuel Oil No. 1</t>
  </si>
  <si>
    <t>$/gallon</t>
  </si>
  <si>
    <t>Fuel Oil No. 2</t>
  </si>
  <si>
    <t>Natural Gas</t>
  </si>
  <si>
    <t>$/CCF</t>
  </si>
  <si>
    <t>Propane</t>
  </si>
  <si>
    <t>To calculate the jacket loss of a storage water heater:</t>
  </si>
  <si>
    <t>How many gallons is the storage tank?</t>
  </si>
  <si>
    <t>gallons</t>
  </si>
  <si>
    <t>Do you know the R-value of the tank wall?</t>
  </si>
  <si>
    <t>What is the temperature of the water in the storage tank (in °F)?</t>
  </si>
  <si>
    <t>What is the temperature of the room where the tank is located (in °F)?</t>
  </si>
  <si>
    <t>°F</t>
  </si>
  <si>
    <t>R-value of tank from user input</t>
  </si>
  <si>
    <t>R-value to send to jacket loss</t>
  </si>
  <si>
    <t>Assumption:</t>
  </si>
  <si>
    <t>Diameter</t>
  </si>
  <si>
    <t>inches</t>
  </si>
  <si>
    <t>Radius</t>
  </si>
  <si>
    <t>Volume from user input</t>
  </si>
  <si>
    <t>(ft2hr°F)/BTU</t>
  </si>
  <si>
    <t>feet</t>
  </si>
  <si>
    <t>Radius to send to jacket loss</t>
  </si>
  <si>
    <r>
      <t>ft</t>
    </r>
    <r>
      <rPr>
        <vertAlign val="superscript"/>
        <sz val="11"/>
        <color theme="1"/>
        <rFont val="Calibri"/>
        <family val="2"/>
        <scheme val="minor"/>
      </rPr>
      <t>3</t>
    </r>
  </si>
  <si>
    <t>Convert to feet</t>
  </si>
  <si>
    <t>Height</t>
  </si>
  <si>
    <t>ft</t>
  </si>
  <si>
    <t>Height for jacket loss</t>
  </si>
  <si>
    <t>Temp. of water</t>
  </si>
  <si>
    <t>F</t>
  </si>
  <si>
    <t>R</t>
  </si>
  <si>
    <r>
      <t>Temp. of room T</t>
    </r>
    <r>
      <rPr>
        <sz val="11"/>
        <color theme="1"/>
        <rFont val="Calibri"/>
        <family val="2"/>
      </rPr>
      <t>∞</t>
    </r>
  </si>
  <si>
    <t>Temp of water for jacket loss</t>
  </si>
  <si>
    <t>Inputs</t>
  </si>
  <si>
    <t>Temp. of room T∞ for jacket loss</t>
  </si>
  <si>
    <t>R-value</t>
  </si>
  <si>
    <t>T water</t>
  </si>
  <si>
    <r>
      <t>T</t>
    </r>
    <r>
      <rPr>
        <sz val="11"/>
        <color theme="1"/>
        <rFont val="Calibri"/>
        <family val="2"/>
      </rPr>
      <t>∞</t>
    </r>
  </si>
  <si>
    <t>Conduction</t>
  </si>
  <si>
    <r>
      <t>q</t>
    </r>
    <r>
      <rPr>
        <vertAlign val="subscript"/>
        <sz val="11"/>
        <color theme="1"/>
        <rFont val="Calibri"/>
        <family val="2"/>
        <scheme val="minor"/>
      </rPr>
      <t>cond</t>
    </r>
    <r>
      <rPr>
        <sz val="11"/>
        <color theme="1"/>
        <rFont val="Calibri"/>
        <family val="2"/>
        <scheme val="minor"/>
      </rPr>
      <t xml:space="preserve"> = A * (T</t>
    </r>
    <r>
      <rPr>
        <vertAlign val="subscript"/>
        <sz val="11"/>
        <color theme="1"/>
        <rFont val="Calibri"/>
        <family val="2"/>
        <scheme val="minor"/>
      </rPr>
      <t>h</t>
    </r>
    <r>
      <rPr>
        <sz val="11"/>
        <color theme="1"/>
        <rFont val="Calibri"/>
        <family val="2"/>
        <scheme val="minor"/>
      </rPr>
      <t>-T</t>
    </r>
    <r>
      <rPr>
        <vertAlign val="subscript"/>
        <sz val="11"/>
        <color theme="1"/>
        <rFont val="Calibri"/>
        <family val="2"/>
        <scheme val="minor"/>
      </rPr>
      <t>c</t>
    </r>
    <r>
      <rPr>
        <sz val="11"/>
        <color theme="1"/>
        <rFont val="Calibri"/>
        <family val="2"/>
        <scheme val="minor"/>
      </rPr>
      <t>)/R</t>
    </r>
  </si>
  <si>
    <t>Radiation</t>
  </si>
  <si>
    <r>
      <t>q</t>
    </r>
    <r>
      <rPr>
        <vertAlign val="subscript"/>
        <sz val="11"/>
        <color theme="1"/>
        <rFont val="Calibri"/>
        <family val="2"/>
        <scheme val="minor"/>
      </rPr>
      <t>rad</t>
    </r>
    <r>
      <rPr>
        <sz val="11"/>
        <color theme="1"/>
        <rFont val="Calibri"/>
        <family val="2"/>
        <scheme val="minor"/>
      </rPr>
      <t xml:space="preserve"> = A</t>
    </r>
    <r>
      <rPr>
        <sz val="11"/>
        <color theme="1"/>
        <rFont val="Calibri"/>
        <family val="2"/>
      </rPr>
      <t>σε * (T</t>
    </r>
    <r>
      <rPr>
        <vertAlign val="subscript"/>
        <sz val="11"/>
        <color theme="1"/>
        <rFont val="Calibri"/>
        <family val="2"/>
      </rPr>
      <t>c</t>
    </r>
    <r>
      <rPr>
        <vertAlign val="superscript"/>
        <sz val="11"/>
        <color theme="1"/>
        <rFont val="Calibri"/>
        <family val="2"/>
      </rPr>
      <t>4</t>
    </r>
    <r>
      <rPr>
        <sz val="11"/>
        <color theme="1"/>
        <rFont val="Calibri"/>
        <family val="2"/>
      </rPr>
      <t>-T</t>
    </r>
    <r>
      <rPr>
        <vertAlign val="subscript"/>
        <sz val="14"/>
        <color theme="1"/>
        <rFont val="Calibri"/>
        <family val="2"/>
      </rPr>
      <t>∞</t>
    </r>
    <r>
      <rPr>
        <vertAlign val="superscript"/>
        <sz val="11"/>
        <color theme="1"/>
        <rFont val="Calibri"/>
        <family val="2"/>
        <scheme val="minor"/>
      </rPr>
      <t>4</t>
    </r>
    <r>
      <rPr>
        <sz val="11"/>
        <color theme="1"/>
        <rFont val="Calibri"/>
        <family val="2"/>
        <scheme val="minor"/>
      </rPr>
      <t>)</t>
    </r>
  </si>
  <si>
    <t>Convection (sides)</t>
  </si>
  <si>
    <r>
      <t>q</t>
    </r>
    <r>
      <rPr>
        <vertAlign val="subscript"/>
        <sz val="11"/>
        <color theme="1"/>
        <rFont val="Calibri"/>
        <family val="2"/>
        <scheme val="minor"/>
      </rPr>
      <t>conv1</t>
    </r>
    <r>
      <rPr>
        <sz val="11"/>
        <color theme="1"/>
        <rFont val="Calibri"/>
        <family val="2"/>
        <scheme val="minor"/>
      </rPr>
      <t xml:space="preserve"> = A</t>
    </r>
    <r>
      <rPr>
        <vertAlign val="subscript"/>
        <sz val="11"/>
        <color theme="1"/>
        <rFont val="Calibri"/>
        <family val="2"/>
        <scheme val="minor"/>
      </rPr>
      <t>side</t>
    </r>
    <r>
      <rPr>
        <sz val="11"/>
        <color theme="1"/>
        <rFont val="Calibri"/>
        <family val="2"/>
        <scheme val="minor"/>
      </rPr>
      <t xml:space="preserve"> * .29 * ((T</t>
    </r>
    <r>
      <rPr>
        <vertAlign val="subscript"/>
        <sz val="11"/>
        <color theme="1"/>
        <rFont val="Calibri"/>
        <family val="2"/>
        <scheme val="minor"/>
      </rPr>
      <t>c</t>
    </r>
    <r>
      <rPr>
        <sz val="11"/>
        <color theme="1"/>
        <rFont val="Calibri"/>
        <family val="2"/>
        <scheme val="minor"/>
      </rPr>
      <t>-T</t>
    </r>
    <r>
      <rPr>
        <vertAlign val="subscript"/>
        <sz val="14"/>
        <color theme="1"/>
        <rFont val="Calibri"/>
        <family val="2"/>
      </rPr>
      <t>∞</t>
    </r>
    <r>
      <rPr>
        <sz val="8.25"/>
        <color theme="1"/>
        <rFont val="Calibri"/>
        <family val="2"/>
      </rPr>
      <t>) / h)</t>
    </r>
    <r>
      <rPr>
        <vertAlign val="superscript"/>
        <sz val="8.25"/>
        <color theme="1"/>
        <rFont val="Calibri"/>
        <family val="2"/>
      </rPr>
      <t>.25</t>
    </r>
    <r>
      <rPr>
        <sz val="8.25"/>
        <color theme="1"/>
        <rFont val="Calibri"/>
        <family val="2"/>
      </rPr>
      <t xml:space="preserve"> * (T</t>
    </r>
    <r>
      <rPr>
        <vertAlign val="subscript"/>
        <sz val="8.25"/>
        <color theme="1"/>
        <rFont val="Calibri"/>
        <family val="2"/>
      </rPr>
      <t>c</t>
    </r>
    <r>
      <rPr>
        <sz val="8.25"/>
        <color theme="1"/>
        <rFont val="Calibri"/>
        <family val="2"/>
      </rPr>
      <t>-T</t>
    </r>
    <r>
      <rPr>
        <vertAlign val="subscript"/>
        <sz val="14"/>
        <color theme="1"/>
        <rFont val="Calibri"/>
        <family val="2"/>
      </rPr>
      <t>∞</t>
    </r>
    <r>
      <rPr>
        <sz val="11"/>
        <color theme="1"/>
        <rFont val="Calibri"/>
        <family val="2"/>
        <scheme val="minor"/>
      </rPr>
      <t>)</t>
    </r>
  </si>
  <si>
    <t>Convection (top)</t>
  </si>
  <si>
    <r>
      <t>q</t>
    </r>
    <r>
      <rPr>
        <vertAlign val="subscript"/>
        <sz val="11"/>
        <color theme="1"/>
        <rFont val="Calibri"/>
        <family val="2"/>
        <scheme val="minor"/>
      </rPr>
      <t>conv2</t>
    </r>
    <r>
      <rPr>
        <sz val="11"/>
        <color theme="1"/>
        <rFont val="Calibri"/>
        <family val="2"/>
        <scheme val="minor"/>
      </rPr>
      <t xml:space="preserve"> = A</t>
    </r>
    <r>
      <rPr>
        <vertAlign val="subscript"/>
        <sz val="11"/>
        <color theme="1"/>
        <rFont val="Calibri"/>
        <family val="2"/>
        <scheme val="minor"/>
      </rPr>
      <t>top</t>
    </r>
    <r>
      <rPr>
        <sz val="11"/>
        <color theme="1"/>
        <rFont val="Calibri"/>
        <family val="2"/>
        <scheme val="minor"/>
      </rPr>
      <t xml:space="preserve"> * .27 * ((T</t>
    </r>
    <r>
      <rPr>
        <vertAlign val="subscript"/>
        <sz val="11"/>
        <color theme="1"/>
        <rFont val="Calibri"/>
        <family val="2"/>
        <scheme val="minor"/>
      </rPr>
      <t>c</t>
    </r>
    <r>
      <rPr>
        <sz val="11"/>
        <color theme="1"/>
        <rFont val="Calibri"/>
        <family val="2"/>
        <scheme val="minor"/>
      </rPr>
      <t>-T</t>
    </r>
    <r>
      <rPr>
        <vertAlign val="subscript"/>
        <sz val="14"/>
        <color theme="1"/>
        <rFont val="Calibri"/>
        <family val="2"/>
      </rPr>
      <t>∞</t>
    </r>
    <r>
      <rPr>
        <sz val="11"/>
        <color theme="1"/>
        <rFont val="Calibri"/>
        <family val="2"/>
      </rPr>
      <t>) / (.9d))</t>
    </r>
    <r>
      <rPr>
        <vertAlign val="superscript"/>
        <sz val="11"/>
        <color theme="1"/>
        <rFont val="Calibri"/>
        <family val="2"/>
      </rPr>
      <t>.25</t>
    </r>
    <r>
      <rPr>
        <sz val="11"/>
        <color theme="1"/>
        <rFont val="Calibri"/>
        <family val="2"/>
      </rPr>
      <t xml:space="preserve"> * (T</t>
    </r>
    <r>
      <rPr>
        <vertAlign val="subscript"/>
        <sz val="11"/>
        <color theme="1"/>
        <rFont val="Calibri"/>
        <family val="2"/>
      </rPr>
      <t>c</t>
    </r>
    <r>
      <rPr>
        <sz val="11"/>
        <color theme="1"/>
        <rFont val="Calibri"/>
        <family val="2"/>
      </rPr>
      <t>-T</t>
    </r>
    <r>
      <rPr>
        <vertAlign val="subscript"/>
        <sz val="14"/>
        <color theme="1"/>
        <rFont val="Calibri"/>
        <family val="2"/>
      </rPr>
      <t>∞</t>
    </r>
    <r>
      <rPr>
        <sz val="11"/>
        <color theme="1"/>
        <rFont val="Calibri"/>
        <family val="2"/>
      </rPr>
      <t>)</t>
    </r>
  </si>
  <si>
    <t>Assumption</t>
  </si>
  <si>
    <r>
      <t>q</t>
    </r>
    <r>
      <rPr>
        <vertAlign val="subscript"/>
        <sz val="11"/>
        <color theme="1"/>
        <rFont val="Calibri"/>
        <family val="2"/>
        <scheme val="minor"/>
      </rPr>
      <t>cond</t>
    </r>
    <r>
      <rPr>
        <sz val="11"/>
        <color theme="1"/>
        <rFont val="Calibri"/>
        <family val="2"/>
        <scheme val="minor"/>
      </rPr>
      <t xml:space="preserve"> = q</t>
    </r>
    <r>
      <rPr>
        <vertAlign val="subscript"/>
        <sz val="11"/>
        <color theme="1"/>
        <rFont val="Calibri"/>
        <family val="2"/>
        <scheme val="minor"/>
      </rPr>
      <t>rad</t>
    </r>
    <r>
      <rPr>
        <sz val="11"/>
        <color theme="1"/>
        <rFont val="Calibri"/>
        <family val="2"/>
        <scheme val="minor"/>
      </rPr>
      <t xml:space="preserve"> + q</t>
    </r>
    <r>
      <rPr>
        <vertAlign val="subscript"/>
        <sz val="11"/>
        <color theme="1"/>
        <rFont val="Calibri"/>
        <family val="2"/>
        <scheme val="minor"/>
      </rPr>
      <t>cond1</t>
    </r>
    <r>
      <rPr>
        <sz val="11"/>
        <color theme="1"/>
        <rFont val="Calibri"/>
        <family val="2"/>
        <scheme val="minor"/>
      </rPr>
      <t xml:space="preserve"> + q</t>
    </r>
    <r>
      <rPr>
        <vertAlign val="subscript"/>
        <sz val="11"/>
        <color theme="1"/>
        <rFont val="Calibri"/>
        <family val="2"/>
        <scheme val="minor"/>
      </rPr>
      <t>cond2</t>
    </r>
  </si>
  <si>
    <t>Surface Area</t>
  </si>
  <si>
    <t>Top of tank</t>
  </si>
  <si>
    <t>Sides of tank</t>
  </si>
  <si>
    <t>Sides + Top</t>
  </si>
  <si>
    <r>
      <t>ft</t>
    </r>
    <r>
      <rPr>
        <vertAlign val="superscript"/>
        <sz val="11"/>
        <color theme="1"/>
        <rFont val="Calibri"/>
        <family val="2"/>
        <scheme val="minor"/>
      </rPr>
      <t>2</t>
    </r>
  </si>
  <si>
    <r>
      <t xml:space="preserve">Emissivity </t>
    </r>
    <r>
      <rPr>
        <sz val="11"/>
        <color theme="1"/>
        <rFont val="Calibri"/>
        <family val="2"/>
      </rPr>
      <t>ε</t>
    </r>
  </si>
  <si>
    <t>None</t>
  </si>
  <si>
    <r>
      <t xml:space="preserve">Stephan-Boltzmann Constant </t>
    </r>
    <r>
      <rPr>
        <sz val="11"/>
        <color theme="1"/>
        <rFont val="Calibri"/>
        <family val="2"/>
      </rPr>
      <t>σ</t>
    </r>
  </si>
  <si>
    <r>
      <t>BTU/(hr*ft</t>
    </r>
    <r>
      <rPr>
        <vertAlign val="superscript"/>
        <sz val="11"/>
        <color theme="1"/>
        <rFont val="Calibri"/>
        <family val="2"/>
        <scheme val="minor"/>
      </rPr>
      <t>2</t>
    </r>
    <r>
      <rPr>
        <sz val="11"/>
        <color theme="1"/>
        <rFont val="Calibri"/>
        <family val="2"/>
        <scheme val="minor"/>
      </rPr>
      <t>*R</t>
    </r>
    <r>
      <rPr>
        <vertAlign val="superscript"/>
        <sz val="11"/>
        <color theme="1"/>
        <rFont val="Calibri"/>
        <family val="2"/>
        <scheme val="minor"/>
      </rPr>
      <t>4</t>
    </r>
    <r>
      <rPr>
        <sz val="11"/>
        <color theme="1"/>
        <rFont val="Calibri"/>
        <family val="2"/>
        <scheme val="minor"/>
      </rPr>
      <t>)</t>
    </r>
  </si>
  <si>
    <t>Radiation Constants</t>
  </si>
  <si>
    <r>
      <t xml:space="preserve">Finding the formulas for convection coefficient </t>
    </r>
    <r>
      <rPr>
        <b/>
        <i/>
        <sz val="11"/>
        <color theme="1"/>
        <rFont val="Calibri"/>
        <family val="2"/>
        <scheme val="minor"/>
      </rPr>
      <t>h</t>
    </r>
  </si>
  <si>
    <t>The formula for h depends on the range of Gr and Pr.</t>
  </si>
  <si>
    <t>Assume the following:</t>
  </si>
  <si>
    <t>Unit:</t>
  </si>
  <si>
    <r>
      <t xml:space="preserve"> T</t>
    </r>
    <r>
      <rPr>
        <vertAlign val="subscript"/>
        <sz val="11"/>
        <color theme="1"/>
        <rFont val="Calibri"/>
        <family val="2"/>
        <scheme val="minor"/>
      </rPr>
      <t>c</t>
    </r>
    <r>
      <rPr>
        <sz val="11"/>
        <color theme="1"/>
        <rFont val="Calibri"/>
        <family val="2"/>
        <scheme val="minor"/>
      </rPr>
      <t xml:space="preserve"> (temp of outer tank wall)</t>
    </r>
  </si>
  <si>
    <t>T∞ (set point temperature of room)</t>
  </si>
  <si>
    <t xml:space="preserve">height of cylinder </t>
  </si>
  <si>
    <t xml:space="preserve">diameter of cyclinder </t>
  </si>
  <si>
    <t xml:space="preserve">These values were chosen to representative of a </t>
  </si>
  <si>
    <t>common water tank, to find the range of Gr.</t>
  </si>
  <si>
    <t>For a vertical cylinder, the formula for Gr:</t>
  </si>
  <si>
    <r>
      <t>Gr = height</t>
    </r>
    <r>
      <rPr>
        <vertAlign val="superscript"/>
        <sz val="11"/>
        <color theme="1"/>
        <rFont val="Calibri"/>
        <family val="2"/>
        <scheme val="minor"/>
      </rPr>
      <t>3</t>
    </r>
    <r>
      <rPr>
        <sz val="11"/>
        <color theme="1"/>
        <rFont val="Calibri"/>
        <family val="2"/>
        <scheme val="minor"/>
      </rPr>
      <t xml:space="preserve"> * 1760000 * (T</t>
    </r>
    <r>
      <rPr>
        <vertAlign val="subscript"/>
        <sz val="11"/>
        <color theme="1"/>
        <rFont val="Calibri"/>
        <family val="2"/>
        <scheme val="minor"/>
      </rPr>
      <t>c</t>
    </r>
    <r>
      <rPr>
        <sz val="11"/>
        <color theme="1"/>
        <rFont val="Calibri"/>
        <family val="2"/>
        <scheme val="minor"/>
      </rPr>
      <t>-T</t>
    </r>
    <r>
      <rPr>
        <vertAlign val="subscript"/>
        <sz val="14"/>
        <color theme="1"/>
        <rFont val="Calibri"/>
        <family val="2"/>
      </rPr>
      <t>∞</t>
    </r>
    <r>
      <rPr>
        <sz val="8.25"/>
        <color theme="1"/>
        <rFont val="Calibri"/>
        <family val="2"/>
      </rPr>
      <t>)</t>
    </r>
  </si>
  <si>
    <t>For a horizontal disk, the formula for Gr:</t>
  </si>
  <si>
    <r>
      <t>Gr = (.9*diameter)</t>
    </r>
    <r>
      <rPr>
        <vertAlign val="superscript"/>
        <sz val="11"/>
        <color theme="1"/>
        <rFont val="Calibri"/>
        <family val="2"/>
        <scheme val="minor"/>
      </rPr>
      <t>3</t>
    </r>
    <r>
      <rPr>
        <sz val="11"/>
        <color theme="1"/>
        <rFont val="Calibri"/>
        <family val="2"/>
        <scheme val="minor"/>
      </rPr>
      <t xml:space="preserve"> * 1760000 * (T</t>
    </r>
    <r>
      <rPr>
        <vertAlign val="subscript"/>
        <sz val="11"/>
        <color theme="1"/>
        <rFont val="Calibri"/>
        <family val="2"/>
        <scheme val="minor"/>
      </rPr>
      <t>c</t>
    </r>
    <r>
      <rPr>
        <sz val="11"/>
        <color theme="1"/>
        <rFont val="Calibri"/>
        <family val="2"/>
        <scheme val="minor"/>
      </rPr>
      <t xml:space="preserve"> - T</t>
    </r>
    <r>
      <rPr>
        <vertAlign val="subscript"/>
        <sz val="14"/>
        <color theme="1"/>
        <rFont val="Calibri"/>
        <family val="2"/>
      </rPr>
      <t>∞</t>
    </r>
    <r>
      <rPr>
        <sz val="8.25"/>
        <color theme="1"/>
        <rFont val="Calibri"/>
        <family val="2"/>
      </rPr>
      <t>)</t>
    </r>
  </si>
  <si>
    <t>For atmospheric air between 32°F and 200°F,</t>
  </si>
  <si>
    <t>Pr=</t>
  </si>
  <si>
    <t>GrPr for cyclinder</t>
  </si>
  <si>
    <r>
      <t>This is &gt;10</t>
    </r>
    <r>
      <rPr>
        <vertAlign val="superscript"/>
        <sz val="11"/>
        <color theme="1"/>
        <rFont val="Calibri"/>
        <family val="2"/>
        <scheme val="minor"/>
      </rPr>
      <t>4</t>
    </r>
    <r>
      <rPr>
        <sz val="11"/>
        <color theme="1"/>
        <rFont val="Calibri"/>
        <family val="2"/>
        <scheme val="minor"/>
      </rPr>
      <t xml:space="preserve"> and &lt;10</t>
    </r>
    <r>
      <rPr>
        <vertAlign val="superscript"/>
        <sz val="11"/>
        <color theme="1"/>
        <rFont val="Calibri"/>
        <family val="2"/>
        <scheme val="minor"/>
      </rPr>
      <t>9</t>
    </r>
  </si>
  <si>
    <r>
      <t>so h</t>
    </r>
    <r>
      <rPr>
        <vertAlign val="subscript"/>
        <sz val="11"/>
        <color theme="1"/>
        <rFont val="Calibri"/>
        <family val="2"/>
        <scheme val="minor"/>
      </rPr>
      <t>sides</t>
    </r>
    <r>
      <rPr>
        <sz val="11"/>
        <color theme="1"/>
        <rFont val="Calibri"/>
        <family val="2"/>
        <scheme val="minor"/>
      </rPr>
      <t xml:space="preserve"> = .29*[(T</t>
    </r>
    <r>
      <rPr>
        <vertAlign val="subscript"/>
        <sz val="11"/>
        <color theme="1"/>
        <rFont val="Calibri"/>
        <family val="2"/>
        <scheme val="minor"/>
      </rPr>
      <t>c</t>
    </r>
    <r>
      <rPr>
        <sz val="11"/>
        <color theme="1"/>
        <rFont val="Calibri"/>
        <family val="2"/>
        <scheme val="minor"/>
      </rPr>
      <t>-T</t>
    </r>
    <r>
      <rPr>
        <vertAlign val="subscript"/>
        <sz val="14"/>
        <color theme="1"/>
        <rFont val="Calibri"/>
        <family val="2"/>
      </rPr>
      <t>∞</t>
    </r>
    <r>
      <rPr>
        <sz val="8.25"/>
        <color theme="1"/>
        <rFont val="Calibri"/>
        <family val="2"/>
      </rPr>
      <t>)/height]</t>
    </r>
    <r>
      <rPr>
        <vertAlign val="superscript"/>
        <sz val="8.25"/>
        <color theme="1"/>
        <rFont val="Calibri"/>
        <family val="2"/>
      </rPr>
      <t>.25</t>
    </r>
  </si>
  <si>
    <t>GrPr for disk</t>
  </si>
  <si>
    <r>
      <t>This is &lt;2</t>
    </r>
    <r>
      <rPr>
        <vertAlign val="superscript"/>
        <sz val="11"/>
        <color theme="1"/>
        <rFont val="Calibri"/>
        <family val="2"/>
        <scheme val="minor"/>
      </rPr>
      <t>7</t>
    </r>
  </si>
  <si>
    <r>
      <t>so h</t>
    </r>
    <r>
      <rPr>
        <vertAlign val="subscript"/>
        <sz val="11"/>
        <color theme="1"/>
        <rFont val="Calibri"/>
        <family val="2"/>
        <scheme val="minor"/>
      </rPr>
      <t>top</t>
    </r>
    <r>
      <rPr>
        <sz val="11"/>
        <color theme="1"/>
        <rFont val="Calibri"/>
        <family val="2"/>
        <scheme val="minor"/>
      </rPr>
      <t xml:space="preserve"> = .27*[(T</t>
    </r>
    <r>
      <rPr>
        <vertAlign val="subscript"/>
        <sz val="11"/>
        <color theme="1"/>
        <rFont val="Calibri"/>
        <family val="2"/>
        <scheme val="minor"/>
      </rPr>
      <t>c</t>
    </r>
    <r>
      <rPr>
        <sz val="11"/>
        <color theme="1"/>
        <rFont val="Calibri"/>
        <family val="2"/>
        <scheme val="minor"/>
      </rPr>
      <t>-T</t>
    </r>
    <r>
      <rPr>
        <vertAlign val="subscript"/>
        <sz val="14"/>
        <color theme="1"/>
        <rFont val="Calibri"/>
        <family val="2"/>
      </rPr>
      <t>∞</t>
    </r>
    <r>
      <rPr>
        <sz val="8.25"/>
        <color theme="1"/>
        <rFont val="Calibri"/>
        <family val="2"/>
      </rPr>
      <t>)/(0.9*diameter)]</t>
    </r>
    <r>
      <rPr>
        <vertAlign val="superscript"/>
        <sz val="8.25"/>
        <color theme="1"/>
        <rFont val="Calibri"/>
        <family val="2"/>
      </rPr>
      <t>.25</t>
    </r>
  </si>
  <si>
    <t>Conduction Heat Loss</t>
  </si>
  <si>
    <t>BTU</t>
  </si>
  <si>
    <t>Tc from Radiation</t>
  </si>
  <si>
    <t>BTU/hr</t>
  </si>
  <si>
    <t>In one year, this is equal to:</t>
  </si>
  <si>
    <t>BTU/year</t>
  </si>
  <si>
    <t>Convection (sides) Heat Loss</t>
  </si>
  <si>
    <t>Convection (top) Heat Loss</t>
  </si>
  <si>
    <t>Total Convective Loss</t>
  </si>
  <si>
    <t>Conduction - Convection</t>
  </si>
  <si>
    <t>Check</t>
  </si>
  <si>
    <t>Conduction - Convection = Radiation</t>
  </si>
  <si>
    <t>This should equal I26</t>
  </si>
  <si>
    <t>The estimated JACKET LOSS of your storage water heater is:</t>
  </si>
  <si>
    <t>With your chosen fuel type, this comes to:</t>
  </si>
  <si>
    <t>Tankless heater potential payback:</t>
  </si>
  <si>
    <t>What is the capital cost of the tankless heater?</t>
  </si>
  <si>
    <t>$</t>
  </si>
  <si>
    <t>What is the capital cost of the storage tank heater?</t>
  </si>
  <si>
    <t>%</t>
  </si>
  <si>
    <t>What is the EF of the tankless heater?</t>
  </si>
  <si>
    <t>What is the EF of the storage tank heater?</t>
  </si>
  <si>
    <t>years</t>
  </si>
  <si>
    <t>EF Tank</t>
  </si>
  <si>
    <t>EF Tankless</t>
  </si>
  <si>
    <t>Cost Tank</t>
  </si>
  <si>
    <t>Cost Tankless</t>
  </si>
  <si>
    <t>Energy Used to Heat Water</t>
  </si>
  <si>
    <t>Assumptions</t>
  </si>
  <si>
    <t>Incoming Water Temp</t>
  </si>
  <si>
    <t>Mass of water heated</t>
  </si>
  <si>
    <t>Constants</t>
  </si>
  <si>
    <t>Specific Heat Water</t>
  </si>
  <si>
    <t>Density Water</t>
  </si>
  <si>
    <t>Convert gal to mass</t>
  </si>
  <si>
    <t>BTU/(lbm°F)</t>
  </si>
  <si>
    <t>lbm/gallon</t>
  </si>
  <si>
    <t xml:space="preserve">Heat </t>
  </si>
  <si>
    <t>Water Temp</t>
  </si>
  <si>
    <t>lbm/day</t>
  </si>
  <si>
    <t>BTU/day</t>
  </si>
  <si>
    <t>Tank</t>
  </si>
  <si>
    <t>Tankless</t>
  </si>
  <si>
    <t>If the jacket loss does contribute to space heating, the payback is:</t>
  </si>
  <si>
    <t>Jacket Loss (useful)</t>
  </si>
  <si>
    <t>Energy Waste</t>
  </si>
  <si>
    <t>Tank - Tankless Waste</t>
  </si>
  <si>
    <t>$/year</t>
  </si>
  <si>
    <t>Payback</t>
  </si>
  <si>
    <t>Capital Cost Tankless - Tank</t>
  </si>
  <si>
    <t>Number of years to payback</t>
  </si>
  <si>
    <t>Activity</t>
  </si>
  <si>
    <t>Total</t>
  </si>
  <si>
    <t>Washing face or hands</t>
  </si>
  <si>
    <t>Washing dishes by hand</t>
  </si>
  <si>
    <t>Water Usage (gallons)</t>
  </si>
  <si>
    <t xml:space="preserve">Make sure the Jacket Loss portion has been completed before filling </t>
  </si>
  <si>
    <t>in the following values.</t>
  </si>
  <si>
    <r>
      <t>lbm/ft</t>
    </r>
    <r>
      <rPr>
        <vertAlign val="superscript"/>
        <sz val="11"/>
        <color theme="1"/>
        <rFont val="Calibri"/>
        <family val="2"/>
        <scheme val="minor"/>
      </rPr>
      <t>3</t>
    </r>
  </si>
  <si>
    <t>This payback is based on the fuel type that you entered earlier.</t>
  </si>
  <si>
    <t>Shaving</t>
  </si>
  <si>
    <t>Shower</t>
  </si>
  <si>
    <t>Food prep</t>
  </si>
  <si>
    <t>Dishwasher</t>
  </si>
  <si>
    <t>Clothes washer</t>
  </si>
  <si>
    <t>With your fuel price, this costs:</t>
  </si>
  <si>
    <t>Energy Input for water heating</t>
  </si>
  <si>
    <t>Jacket Loss Multiplier</t>
  </si>
  <si>
    <t>Muliplier</t>
  </si>
  <si>
    <t>Months with ave T&gt;60F</t>
  </si>
  <si>
    <t>Freeze Protection Estimates</t>
  </si>
  <si>
    <t>Jan</t>
  </si>
  <si>
    <t>Ave temps (whole #,F)</t>
  </si>
  <si>
    <t>Feb</t>
  </si>
  <si>
    <t>Mar</t>
  </si>
  <si>
    <t>A -&gt; S</t>
  </si>
  <si>
    <t>above 32</t>
  </si>
  <si>
    <t>Oct</t>
  </si>
  <si>
    <t>Nov</t>
  </si>
  <si>
    <t>Dec</t>
  </si>
  <si>
    <t>Freeze protection estimate</t>
  </si>
  <si>
    <t>kWhr/day/(10°F)</t>
  </si>
  <si>
    <t>kWhr/year</t>
  </si>
  <si>
    <t>With $ for tankless freeze protection</t>
  </si>
  <si>
    <t>User Input</t>
  </si>
  <si>
    <t>A tankless heater would result in an annual savings of:</t>
  </si>
  <si>
    <t>This savings is dependent on your chosen fuel and fuel price.</t>
  </si>
  <si>
    <t>For User Input Page</t>
  </si>
  <si>
    <t>Annual Savings ISNUMBER</t>
  </si>
  <si>
    <t>Payback ISNUMBER</t>
  </si>
  <si>
    <t>Times per week</t>
  </si>
  <si>
    <t>Total Weekly Usage (gallons)</t>
  </si>
  <si>
    <t>Weekly Hot Water Consumption Estimate</t>
  </si>
  <si>
    <r>
      <t xml:space="preserve">What is your weekly water usage? </t>
    </r>
    <r>
      <rPr>
        <i/>
        <sz val="10"/>
        <color theme="1"/>
        <rFont val="Calibri"/>
        <family val="2"/>
        <scheme val="minor"/>
      </rPr>
      <t>(Don't know?  Calculate it on the next sheet.)</t>
    </r>
  </si>
  <si>
    <t>swimming</t>
  </si>
  <si>
    <t>Daily Water Usage</t>
  </si>
  <si>
    <t>Use default R-value</t>
  </si>
  <si>
    <t>Yes</t>
  </si>
</sst>
</file>

<file path=xl/styles.xml><?xml version="1.0" encoding="utf-8"?>
<styleSheet xmlns="http://schemas.openxmlformats.org/spreadsheetml/2006/main">
  <numFmts count="1">
    <numFmt numFmtId="164" formatCode="&quot;$&quot;#,##0.00"/>
  </numFmts>
  <fonts count="16">
    <font>
      <sz val="11"/>
      <color theme="1"/>
      <name val="Calibri"/>
      <family val="2"/>
      <scheme val="minor"/>
    </font>
    <font>
      <b/>
      <sz val="11"/>
      <color theme="1"/>
      <name val="Calibri"/>
      <family val="2"/>
      <scheme val="minor"/>
    </font>
    <font>
      <i/>
      <sz val="11"/>
      <color theme="1"/>
      <name val="Calibri"/>
      <family val="2"/>
      <scheme val="minor"/>
    </font>
    <font>
      <vertAlign val="superscript"/>
      <sz val="11"/>
      <color theme="1"/>
      <name val="Calibri"/>
      <family val="2"/>
      <scheme val="minor"/>
    </font>
    <font>
      <sz val="11"/>
      <color theme="1"/>
      <name val="Calibri"/>
      <family val="2"/>
    </font>
    <font>
      <sz val="8.25"/>
      <color theme="1"/>
      <name val="Calibri"/>
      <family val="2"/>
    </font>
    <font>
      <vertAlign val="subscript"/>
      <sz val="11"/>
      <color theme="1"/>
      <name val="Calibri"/>
      <family val="2"/>
    </font>
    <font>
      <vertAlign val="subscript"/>
      <sz val="14"/>
      <color theme="1"/>
      <name val="Calibri"/>
      <family val="2"/>
    </font>
    <font>
      <b/>
      <i/>
      <sz val="11"/>
      <color theme="1"/>
      <name val="Calibri"/>
      <family val="2"/>
      <scheme val="minor"/>
    </font>
    <font>
      <vertAlign val="subscript"/>
      <sz val="11"/>
      <color theme="1"/>
      <name val="Calibri"/>
      <family val="2"/>
      <scheme val="minor"/>
    </font>
    <font>
      <vertAlign val="superscript"/>
      <sz val="8.25"/>
      <color theme="1"/>
      <name val="Calibri"/>
      <family val="2"/>
    </font>
    <font>
      <vertAlign val="superscript"/>
      <sz val="11"/>
      <color theme="1"/>
      <name val="Calibri"/>
      <family val="2"/>
    </font>
    <font>
      <vertAlign val="subscript"/>
      <sz val="8.25"/>
      <color theme="1"/>
      <name val="Calibri"/>
      <family val="2"/>
    </font>
    <font>
      <i/>
      <sz val="8"/>
      <color theme="1"/>
      <name val="Calibri"/>
      <family val="2"/>
      <scheme val="minor"/>
    </font>
    <font>
      <i/>
      <sz val="10"/>
      <color theme="1"/>
      <name val="Calibri"/>
      <family val="2"/>
      <scheme val="minor"/>
    </font>
    <font>
      <sz val="11"/>
      <name val="Calibri"/>
      <family val="2"/>
      <scheme val="minor"/>
    </font>
  </fonts>
  <fills count="5">
    <fill>
      <patternFill patternType="none"/>
    </fill>
    <fill>
      <patternFill patternType="gray125"/>
    </fill>
    <fill>
      <patternFill patternType="solid">
        <fgColor theme="4" tint="0.59999389629810485"/>
        <bgColor indexed="64"/>
      </patternFill>
    </fill>
    <fill>
      <patternFill patternType="solid">
        <fgColor theme="6"/>
        <bgColor indexed="64"/>
      </patternFill>
    </fill>
    <fill>
      <patternFill patternType="solid">
        <fgColor theme="9"/>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s>
  <cellStyleXfs count="1">
    <xf numFmtId="0" fontId="0" fillId="0" borderId="0"/>
  </cellStyleXfs>
  <cellXfs count="97">
    <xf numFmtId="0" fontId="0" fillId="0" borderId="0" xfId="0"/>
    <xf numFmtId="0" fontId="0" fillId="0" borderId="0" xfId="0"/>
    <xf numFmtId="0" fontId="0" fillId="0" borderId="0" xfId="0" applyAlignment="1">
      <alignment horizontal="center"/>
    </xf>
    <xf numFmtId="0" fontId="1" fillId="0" borderId="0" xfId="0" applyFont="1"/>
    <xf numFmtId="0" fontId="0" fillId="0" borderId="0" xfId="0" applyFill="1" applyBorder="1"/>
    <xf numFmtId="0" fontId="0" fillId="3" borderId="0" xfId="0" applyFont="1" applyFill="1"/>
    <xf numFmtId="0" fontId="0" fillId="3" borderId="0" xfId="0" applyFill="1" applyAlignment="1">
      <alignment horizontal="center"/>
    </xf>
    <xf numFmtId="0" fontId="0" fillId="3" borderId="0" xfId="0" applyFill="1"/>
    <xf numFmtId="0" fontId="0" fillId="0" borderId="0" xfId="0" applyFill="1"/>
    <xf numFmtId="0" fontId="0" fillId="0" borderId="0" xfId="0" applyFill="1" applyAlignment="1">
      <alignment horizontal="center"/>
    </xf>
    <xf numFmtId="2" fontId="0" fillId="0" borderId="0" xfId="0" applyNumberFormat="1" applyAlignment="1">
      <alignment horizontal="center"/>
    </xf>
    <xf numFmtId="0" fontId="0" fillId="0" borderId="0" xfId="0"/>
    <xf numFmtId="0" fontId="0" fillId="0" borderId="0" xfId="0" applyAlignment="1">
      <alignment horizontal="center"/>
    </xf>
    <xf numFmtId="0" fontId="0" fillId="0" borderId="4" xfId="0" applyBorder="1"/>
    <xf numFmtId="0" fontId="0" fillId="0" borderId="5" xfId="0" applyBorder="1" applyAlignment="1">
      <alignment horizontal="center"/>
    </xf>
    <xf numFmtId="0" fontId="0" fillId="0" borderId="6" xfId="0" applyBorder="1"/>
    <xf numFmtId="0" fontId="0" fillId="0" borderId="7" xfId="0" applyBorder="1" applyAlignment="1">
      <alignment horizontal="center"/>
    </xf>
    <xf numFmtId="0" fontId="1" fillId="0" borderId="2" xfId="0" applyFont="1" applyBorder="1"/>
    <xf numFmtId="0" fontId="0" fillId="0" borderId="8" xfId="0" applyBorder="1" applyAlignment="1">
      <alignment horizontal="center"/>
    </xf>
    <xf numFmtId="0" fontId="0" fillId="0" borderId="3" xfId="0" applyBorder="1"/>
    <xf numFmtId="0" fontId="0" fillId="0" borderId="0" xfId="0" applyBorder="1" applyAlignment="1">
      <alignment horizontal="center"/>
    </xf>
    <xf numFmtId="0" fontId="0" fillId="0" borderId="5" xfId="0" applyBorder="1"/>
    <xf numFmtId="0" fontId="0" fillId="0" borderId="7" xfId="0" applyBorder="1"/>
    <xf numFmtId="0" fontId="1" fillId="0" borderId="4" xfId="0" applyFont="1" applyBorder="1"/>
    <xf numFmtId="0" fontId="1" fillId="0" borderId="6" xfId="0" applyFont="1" applyBorder="1"/>
    <xf numFmtId="0" fontId="0" fillId="0" borderId="3" xfId="0" applyBorder="1" applyAlignment="1">
      <alignment horizontal="center"/>
    </xf>
    <xf numFmtId="2" fontId="0" fillId="0" borderId="0" xfId="0" applyNumberFormat="1" applyBorder="1" applyAlignment="1">
      <alignment horizontal="center"/>
    </xf>
    <xf numFmtId="2" fontId="0" fillId="0" borderId="9" xfId="0" applyNumberFormat="1" applyBorder="1" applyAlignment="1">
      <alignment horizontal="center"/>
    </xf>
    <xf numFmtId="2" fontId="0" fillId="3" borderId="0" xfId="0" applyNumberFormat="1" applyFill="1" applyAlignment="1">
      <alignment horizontal="center"/>
    </xf>
    <xf numFmtId="2" fontId="0" fillId="0" borderId="0" xfId="0" applyNumberFormat="1" applyFill="1" applyAlignment="1">
      <alignment horizontal="center"/>
    </xf>
    <xf numFmtId="0" fontId="0" fillId="0" borderId="4" xfId="0" applyBorder="1"/>
    <xf numFmtId="0" fontId="0" fillId="0" borderId="5" xfId="0" applyBorder="1" applyAlignment="1">
      <alignment horizontal="center"/>
    </xf>
    <xf numFmtId="0" fontId="0" fillId="0" borderId="6" xfId="0" applyBorder="1"/>
    <xf numFmtId="0" fontId="0" fillId="0" borderId="7" xfId="0" applyBorder="1" applyAlignment="1">
      <alignment horizontal="center"/>
    </xf>
    <xf numFmtId="0" fontId="1" fillId="0" borderId="2" xfId="0" applyFont="1" applyBorder="1"/>
    <xf numFmtId="0" fontId="1" fillId="0" borderId="3" xfId="0" applyFont="1" applyBorder="1" applyAlignment="1">
      <alignment horizontal="center"/>
    </xf>
    <xf numFmtId="0" fontId="0" fillId="0" borderId="8" xfId="0" applyBorder="1" applyAlignment="1">
      <alignment horizontal="center"/>
    </xf>
    <xf numFmtId="0" fontId="0" fillId="0" borderId="0" xfId="0" applyBorder="1" applyAlignment="1">
      <alignment horizontal="center"/>
    </xf>
    <xf numFmtId="0" fontId="0" fillId="0" borderId="0" xfId="0" applyBorder="1"/>
    <xf numFmtId="11" fontId="0" fillId="0" borderId="9" xfId="0" applyNumberFormat="1" applyBorder="1"/>
    <xf numFmtId="2" fontId="0" fillId="0" borderId="0" xfId="0" applyNumberFormat="1"/>
    <xf numFmtId="0" fontId="0" fillId="0" borderId="0" xfId="0"/>
    <xf numFmtId="0" fontId="0" fillId="0" borderId="0" xfId="0" applyAlignment="1">
      <alignment horizontal="center"/>
    </xf>
    <xf numFmtId="0" fontId="0" fillId="0" borderId="4" xfId="0" applyBorder="1"/>
    <xf numFmtId="0" fontId="0" fillId="0" borderId="5" xfId="0" applyBorder="1" applyAlignment="1">
      <alignment horizontal="center"/>
    </xf>
    <xf numFmtId="0" fontId="0" fillId="0" borderId="6" xfId="0" applyBorder="1"/>
    <xf numFmtId="0" fontId="0" fillId="0" borderId="7" xfId="0" applyBorder="1" applyAlignment="1">
      <alignment horizontal="center"/>
    </xf>
    <xf numFmtId="0" fontId="1" fillId="0" borderId="2" xfId="0" applyFont="1" applyBorder="1"/>
    <xf numFmtId="0" fontId="0" fillId="0" borderId="8" xfId="0" applyBorder="1" applyAlignment="1">
      <alignment horizontal="center"/>
    </xf>
    <xf numFmtId="0" fontId="0" fillId="0" borderId="3" xfId="0" applyBorder="1"/>
    <xf numFmtId="0" fontId="0" fillId="0" borderId="0" xfId="0" applyBorder="1" applyAlignment="1">
      <alignment horizontal="center"/>
    </xf>
    <xf numFmtId="0" fontId="0" fillId="0" borderId="5" xfId="0" applyBorder="1"/>
    <xf numFmtId="0" fontId="2" fillId="0" borderId="4" xfId="0" applyFont="1" applyBorder="1"/>
    <xf numFmtId="3" fontId="0" fillId="0" borderId="0" xfId="0" applyNumberFormat="1" applyBorder="1" applyAlignment="1">
      <alignment horizontal="center"/>
    </xf>
    <xf numFmtId="0" fontId="0" fillId="0" borderId="9" xfId="0" applyBorder="1" applyAlignment="1">
      <alignment horizontal="center"/>
    </xf>
    <xf numFmtId="0" fontId="0" fillId="0" borderId="7" xfId="0" applyBorder="1"/>
    <xf numFmtId="0" fontId="1" fillId="0" borderId="4" xfId="0" applyFont="1" applyBorder="1"/>
    <xf numFmtId="0" fontId="1" fillId="0" borderId="8" xfId="0" applyFont="1" applyBorder="1"/>
    <xf numFmtId="0" fontId="0" fillId="0" borderId="0" xfId="0" applyBorder="1"/>
    <xf numFmtId="0" fontId="0" fillId="0" borderId="9" xfId="0" applyBorder="1"/>
    <xf numFmtId="0" fontId="0" fillId="0" borderId="8" xfId="0" applyBorder="1"/>
    <xf numFmtId="0" fontId="0" fillId="0" borderId="3" xfId="0" applyBorder="1" applyAlignment="1">
      <alignment horizontal="center"/>
    </xf>
    <xf numFmtId="0" fontId="1" fillId="0" borderId="0" xfId="0" applyFont="1"/>
    <xf numFmtId="0" fontId="1" fillId="0" borderId="3" xfId="0" applyFont="1" applyBorder="1"/>
    <xf numFmtId="2" fontId="0" fillId="0" borderId="4" xfId="0" applyNumberFormat="1" applyBorder="1"/>
    <xf numFmtId="2" fontId="0" fillId="0" borderId="0" xfId="0" applyNumberFormat="1" applyBorder="1"/>
    <xf numFmtId="2" fontId="0" fillId="0" borderId="6" xfId="0" applyNumberFormat="1" applyBorder="1"/>
    <xf numFmtId="0" fontId="0" fillId="0" borderId="6" xfId="0" applyFill="1" applyBorder="1"/>
    <xf numFmtId="0" fontId="0" fillId="0" borderId="4" xfId="0" applyFill="1" applyBorder="1"/>
    <xf numFmtId="0" fontId="0" fillId="2" borderId="1" xfId="0" applyFill="1" applyBorder="1" applyAlignment="1" applyProtection="1">
      <alignment horizontal="center"/>
      <protection locked="0"/>
    </xf>
    <xf numFmtId="0" fontId="0" fillId="0" borderId="1" xfId="0" applyBorder="1" applyAlignment="1" applyProtection="1">
      <alignment horizontal="center"/>
      <protection locked="0"/>
    </xf>
    <xf numFmtId="0" fontId="0" fillId="0" borderId="0" xfId="0" applyFont="1" applyFill="1" applyAlignment="1" applyProtection="1">
      <alignment horizontal="left"/>
    </xf>
    <xf numFmtId="0" fontId="0" fillId="0" borderId="0" xfId="0" applyFont="1" applyAlignment="1" applyProtection="1">
      <alignment horizontal="left"/>
    </xf>
    <xf numFmtId="0" fontId="0" fillId="0" borderId="0" xfId="0" applyAlignment="1" applyProtection="1">
      <alignment horizontal="left"/>
    </xf>
    <xf numFmtId="0" fontId="0" fillId="0" borderId="0" xfId="0" applyProtection="1"/>
    <xf numFmtId="0" fontId="0" fillId="0" borderId="1" xfId="0" applyBorder="1" applyAlignment="1" applyProtection="1">
      <alignment horizontal="center"/>
    </xf>
    <xf numFmtId="0" fontId="0" fillId="0" borderId="0" xfId="0" applyAlignment="1" applyProtection="1">
      <alignment horizontal="center"/>
    </xf>
    <xf numFmtId="0" fontId="1" fillId="0" borderId="0" xfId="0" applyFont="1" applyProtection="1"/>
    <xf numFmtId="0" fontId="2" fillId="0" borderId="0" xfId="0" applyFont="1" applyProtection="1"/>
    <xf numFmtId="0" fontId="0" fillId="0" borderId="0" xfId="0" applyFill="1" applyBorder="1" applyProtection="1"/>
    <xf numFmtId="2" fontId="0" fillId="4" borderId="1" xfId="0" applyNumberFormat="1" applyFill="1" applyBorder="1" applyAlignment="1" applyProtection="1">
      <alignment horizontal="center"/>
    </xf>
    <xf numFmtId="2" fontId="0" fillId="0" borderId="1" xfId="0" applyNumberFormat="1" applyFill="1" applyBorder="1" applyAlignment="1" applyProtection="1">
      <alignment horizontal="center"/>
    </xf>
    <xf numFmtId="2" fontId="0" fillId="0" borderId="1" xfId="0" applyNumberFormat="1" applyBorder="1" applyAlignment="1" applyProtection="1">
      <alignment horizontal="center"/>
    </xf>
    <xf numFmtId="0" fontId="0" fillId="0" borderId="0" xfId="0" applyBorder="1" applyAlignment="1" applyProtection="1">
      <alignment horizontal="center"/>
    </xf>
    <xf numFmtId="0" fontId="0" fillId="0" borderId="0" xfId="0" applyFill="1" applyBorder="1" applyAlignment="1" applyProtection="1">
      <alignment horizontal="center"/>
    </xf>
    <xf numFmtId="0" fontId="0" fillId="4" borderId="1" xfId="0" applyFill="1" applyBorder="1" applyAlignment="1" applyProtection="1">
      <alignment horizontal="center"/>
    </xf>
    <xf numFmtId="0" fontId="0" fillId="2" borderId="10" xfId="0" applyFill="1" applyBorder="1" applyAlignment="1" applyProtection="1">
      <alignment horizontal="center"/>
      <protection locked="0"/>
    </xf>
    <xf numFmtId="0" fontId="13" fillId="0" borderId="0" xfId="0" applyFont="1" applyAlignment="1" applyProtection="1">
      <alignment horizontal="center"/>
    </xf>
    <xf numFmtId="0" fontId="0" fillId="0" borderId="8" xfId="0" applyFill="1" applyBorder="1" applyAlignment="1" applyProtection="1">
      <alignment horizontal="center"/>
    </xf>
    <xf numFmtId="0" fontId="15" fillId="4" borderId="1" xfId="0" applyFont="1" applyFill="1" applyBorder="1" applyAlignment="1" applyProtection="1">
      <alignment horizontal="center"/>
    </xf>
    <xf numFmtId="0" fontId="0" fillId="0" borderId="0" xfId="0" applyFill="1" applyBorder="1" applyAlignment="1">
      <alignment horizontal="center"/>
    </xf>
    <xf numFmtId="0" fontId="0" fillId="0" borderId="5" xfId="0" applyFill="1" applyBorder="1" applyAlignment="1">
      <alignment horizontal="center"/>
    </xf>
    <xf numFmtId="164" fontId="0" fillId="0" borderId="9" xfId="0" applyNumberFormat="1" applyBorder="1" applyAlignment="1">
      <alignment horizontal="center"/>
    </xf>
    <xf numFmtId="164" fontId="0" fillId="0" borderId="1" xfId="0" applyNumberFormat="1" applyBorder="1" applyAlignment="1" applyProtection="1">
      <alignment horizontal="center"/>
    </xf>
    <xf numFmtId="164" fontId="0" fillId="0" borderId="0" xfId="0" applyNumberFormat="1" applyFill="1" applyBorder="1" applyAlignment="1" applyProtection="1">
      <alignment horizontal="center"/>
    </xf>
    <xf numFmtId="0" fontId="2" fillId="0" borderId="0" xfId="0" applyFont="1" applyFill="1" applyBorder="1" applyProtection="1"/>
    <xf numFmtId="164" fontId="15" fillId="4" borderId="1" xfId="0" applyNumberFormat="1" applyFont="1" applyFill="1" applyBorder="1" applyAlignment="1" applyProtection="1">
      <alignment horizontal="center"/>
    </xf>
  </cellXfs>
  <cellStyles count="1">
    <cellStyle name="Normal"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7620</xdr:rowOff>
    </xdr:from>
    <xdr:to>
      <xdr:col>9</xdr:col>
      <xdr:colOff>609599</xdr:colOff>
      <xdr:row>31</xdr:row>
      <xdr:rowOff>182879</xdr:rowOff>
    </xdr:to>
    <xdr:sp macro="" textlink="">
      <xdr:nvSpPr>
        <xdr:cNvPr id="2" name="TextBox 1"/>
        <xdr:cNvSpPr txBox="1"/>
      </xdr:nvSpPr>
      <xdr:spPr>
        <a:xfrm>
          <a:off x="0" y="7620"/>
          <a:ext cx="6095999" cy="584453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a:p>
          <a:endParaRPr lang="en-US" sz="1100"/>
        </a:p>
        <a:p>
          <a:endParaRPr lang="en-US" sz="1100"/>
        </a:p>
        <a:p>
          <a:endParaRPr lang="en-US" sz="1100"/>
        </a:p>
        <a:p>
          <a:endParaRPr lang="en-US" sz="1100"/>
        </a:p>
        <a:p>
          <a:r>
            <a:rPr lang="en-US" sz="1100"/>
            <a:t>Welcome to the</a:t>
          </a:r>
          <a:r>
            <a:rPr lang="en-US" sz="1100" baseline="0"/>
            <a:t> Domestic Hot Water Calculation Tool.  This spreadsheet will help you:</a:t>
          </a:r>
        </a:p>
        <a:p>
          <a:r>
            <a:rPr lang="en-US" sz="1100" baseline="0"/>
            <a:t>1) Estimate the jacket loss of your storage water heater</a:t>
          </a:r>
        </a:p>
        <a:p>
          <a:r>
            <a:rPr lang="en-US" sz="1100" baseline="0"/>
            <a:t>2) Learn the payback for replacing a storage water heater with a tankless heater</a:t>
          </a:r>
        </a:p>
        <a:p>
          <a:endParaRPr lang="en-US" sz="1100" baseline="0"/>
        </a:p>
        <a:p>
          <a:endParaRPr lang="en-US" sz="1100" baseline="0"/>
        </a:p>
        <a:p>
          <a:r>
            <a:rPr lang="en-US" sz="1100" baseline="0"/>
            <a:t>Instructions:</a:t>
          </a:r>
        </a:p>
        <a:p>
          <a:r>
            <a:rPr lang="en-US" sz="1100"/>
            <a:t>1) On the </a:t>
          </a:r>
          <a:r>
            <a:rPr lang="en-US" sz="1100" i="1"/>
            <a:t>User Input </a:t>
          </a:r>
          <a:r>
            <a:rPr lang="en-US" sz="1100"/>
            <a:t>sheet, you can enter</a:t>
          </a:r>
          <a:r>
            <a:rPr lang="en-US" sz="1100" baseline="0"/>
            <a:t> in details about your location, fuel type, and water heater.  As you fill in the blue squares, the spreadsheet will calculate an estimate of the jacket loss of your storage water heater.  </a:t>
          </a:r>
        </a:p>
        <a:p>
          <a:r>
            <a:rPr lang="en-US" sz="1100" baseline="0"/>
            <a:t>2) The jacket loss estimate is given in the orange cell.  Jacket loss is the amount of heat that leaks from your storage tank.  It's called "loss" since it is a loss to the water heating system - but it may not be a loss for your house, if the storage tank is located in conditioned space. The jacket loss is given in BTUs, a common heating unit, and also in terms of the fuel type that you use.</a:t>
          </a:r>
        </a:p>
        <a:p>
          <a:r>
            <a:rPr lang="en-US" sz="1100" baseline="0"/>
            <a:t>3) If you are considering a tankless unit, you can continue to fill out information to calculate whether or not installing the tankless heater is an economical option. However, your decision on installing a tankless heater should be based on more than economics - so be sure to talk to a heating contractor who has experience with tankless systems too.  </a:t>
          </a:r>
        </a:p>
        <a:p>
          <a:endParaRPr lang="en-US" sz="1100" baseline="0"/>
        </a:p>
        <a:p>
          <a:r>
            <a:rPr lang="en-US" sz="1100" baseline="0"/>
            <a:t>You can find more resources on both storage and tankless water heaters at </a:t>
          </a:r>
          <a:r>
            <a:rPr lang="en-US" sz="1100" baseline="0">
              <a:solidFill>
                <a:srgbClr val="0070C0"/>
              </a:solidFill>
            </a:rPr>
            <a:t>www.cchrc.org</a:t>
          </a:r>
          <a:r>
            <a:rPr lang="en-US" sz="1100" baseline="0"/>
            <a:t> and </a:t>
          </a:r>
          <a:r>
            <a:rPr lang="en-US" sz="1100" baseline="0">
              <a:solidFill>
                <a:srgbClr val="0070C0"/>
              </a:solidFill>
              <a:latin typeface="+mn-lt"/>
              <a:ea typeface="+mn-ea"/>
              <a:cs typeface="+mn-cs"/>
            </a:rPr>
            <a:t>www.cchrc.org/yourhouse/home.htm</a:t>
          </a:r>
          <a:r>
            <a:rPr lang="en-US" sz="1100" baseline="0">
              <a:solidFill>
                <a:schemeClr val="dk1"/>
              </a:solidFill>
              <a:latin typeface="+mn-lt"/>
              <a:ea typeface="+mn-ea"/>
              <a:cs typeface="+mn-cs"/>
            </a:rPr>
            <a:t>.</a:t>
          </a:r>
        </a:p>
        <a:p>
          <a:endParaRPr lang="en-US" sz="1100" baseline="0">
            <a:solidFill>
              <a:schemeClr val="dk1"/>
            </a:solidFill>
            <a:latin typeface="+mn-lt"/>
            <a:ea typeface="+mn-ea"/>
            <a:cs typeface="+mn-cs"/>
          </a:endParaRPr>
        </a:p>
        <a:p>
          <a:r>
            <a:rPr lang="en-US" sz="1100" baseline="0">
              <a:solidFill>
                <a:schemeClr val="dk1"/>
              </a:solidFill>
              <a:latin typeface="+mn-lt"/>
              <a:ea typeface="+mn-ea"/>
              <a:cs typeface="+mn-cs"/>
            </a:rPr>
            <a:t>The fine print:</a:t>
          </a:r>
          <a:endParaRPr lang="en-US"/>
        </a:p>
        <a:p>
          <a:r>
            <a:rPr lang="en-US" sz="1100" baseline="0">
              <a:solidFill>
                <a:schemeClr val="dk1"/>
              </a:solidFill>
              <a:latin typeface="+mn-lt"/>
              <a:ea typeface="+mn-ea"/>
              <a:cs typeface="+mn-cs"/>
            </a:rPr>
            <a:t>To complete the calculations in this spreadsheet, we had to make a few assumptions.  For example, we chose a radius for the storage tank (don't worry - we chose a very common one) and we estimated the emissitivity of your storage tank (again, we chose a common value).  Still, because of these assumptions, the values in the spreadsheet are only estimates.  If you have questions, feel free to talk to a heating contractor or contact CCHRC at </a:t>
          </a:r>
          <a:r>
            <a:rPr lang="en-US" sz="1100" baseline="0">
              <a:solidFill>
                <a:srgbClr val="0070C0"/>
              </a:solidFill>
              <a:latin typeface="+mn-lt"/>
              <a:ea typeface="+mn-ea"/>
              <a:cs typeface="+mn-cs"/>
            </a:rPr>
            <a:t>457-3454</a:t>
          </a:r>
          <a:r>
            <a:rPr lang="en-US" sz="1100" baseline="0">
              <a:solidFill>
                <a:schemeClr val="dk1"/>
              </a:solidFill>
              <a:latin typeface="+mn-lt"/>
              <a:ea typeface="+mn-ea"/>
              <a:cs typeface="+mn-cs"/>
            </a:rPr>
            <a:t> or </a:t>
          </a:r>
          <a:r>
            <a:rPr lang="en-US" sz="1100" baseline="0">
              <a:solidFill>
                <a:srgbClr val="0070C0"/>
              </a:solidFill>
              <a:latin typeface="+mn-lt"/>
              <a:ea typeface="+mn-ea"/>
              <a:cs typeface="+mn-cs"/>
            </a:rPr>
            <a:t>info@cchrc.org</a:t>
          </a:r>
          <a:r>
            <a:rPr lang="en-US" sz="1100" baseline="0">
              <a:solidFill>
                <a:schemeClr val="dk1"/>
              </a:solidFill>
              <a:latin typeface="+mn-lt"/>
              <a:ea typeface="+mn-ea"/>
              <a:cs typeface="+mn-cs"/>
            </a:rPr>
            <a:t>!</a:t>
          </a:r>
          <a:endParaRPr lang="en-US"/>
        </a:p>
        <a:p>
          <a:endParaRPr lang="en-US" sz="1100"/>
        </a:p>
      </xdr:txBody>
    </xdr:sp>
    <xdr:clientData/>
  </xdr:twoCellAnchor>
  <xdr:twoCellAnchor editAs="oneCell">
    <xdr:from>
      <xdr:col>0</xdr:col>
      <xdr:colOff>0</xdr:colOff>
      <xdr:row>0</xdr:row>
      <xdr:rowOff>0</xdr:rowOff>
    </xdr:from>
    <xdr:to>
      <xdr:col>4</xdr:col>
      <xdr:colOff>427366</xdr:colOff>
      <xdr:row>4</xdr:row>
      <xdr:rowOff>114300</xdr:rowOff>
    </xdr:to>
    <xdr:pic>
      <xdr:nvPicPr>
        <xdr:cNvPr id="3" name="Picture 2" descr="CCHRC Logo Blue.jpg"/>
        <xdr:cNvPicPr>
          <a:picLocks noChangeAspect="1"/>
        </xdr:cNvPicPr>
      </xdr:nvPicPr>
      <xdr:blipFill>
        <a:blip xmlns:r="http://schemas.openxmlformats.org/officeDocument/2006/relationships" r:embed="rId1" cstate="print"/>
        <a:stretch>
          <a:fillRect/>
        </a:stretch>
      </xdr:blipFill>
      <xdr:spPr>
        <a:xfrm>
          <a:off x="0" y="0"/>
          <a:ext cx="2865766" cy="8458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2390</xdr:colOff>
      <xdr:row>10</xdr:row>
      <xdr:rowOff>172721</xdr:rowOff>
    </xdr:from>
    <xdr:to>
      <xdr:col>9</xdr:col>
      <xdr:colOff>83670</xdr:colOff>
      <xdr:row>21</xdr:row>
      <xdr:rowOff>35860</xdr:rowOff>
    </xdr:to>
    <xdr:sp macro="" textlink="">
      <xdr:nvSpPr>
        <xdr:cNvPr id="2" name="TextBox 1"/>
        <xdr:cNvSpPr txBox="1"/>
      </xdr:nvSpPr>
      <xdr:spPr>
        <a:xfrm>
          <a:off x="8088555" y="1786368"/>
          <a:ext cx="3129280" cy="1656080"/>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Jacket</a:t>
          </a:r>
          <a:r>
            <a:rPr lang="en-US" sz="1100" baseline="0"/>
            <a:t> loss is the heat that leaks through the walls of a hot water storage tank.  </a:t>
          </a:r>
        </a:p>
        <a:p>
          <a:endParaRPr lang="en-US" sz="1100" baseline="0"/>
        </a:p>
        <a:p>
          <a:r>
            <a:rPr lang="en-US" sz="1100" baseline="0"/>
            <a:t>If your storage tank is in a heated room, such as a utility closet, this jacket loss contributes to the space heating and offsets some of the heat your space heating appliance would have to provide.  On the other hand, if the tank is in an unconditioned room, the jacket loss is a total loss.</a:t>
          </a:r>
          <a:endParaRPr lang="en-US" sz="1100"/>
        </a:p>
      </xdr:txBody>
    </xdr:sp>
    <xdr:clientData/>
  </xdr:twoCellAnchor>
  <xdr:twoCellAnchor>
    <xdr:from>
      <xdr:col>4</xdr:col>
      <xdr:colOff>8965</xdr:colOff>
      <xdr:row>0</xdr:row>
      <xdr:rowOff>162560</xdr:rowOff>
    </xdr:from>
    <xdr:to>
      <xdr:col>8</xdr:col>
      <xdr:colOff>181685</xdr:colOff>
      <xdr:row>3</xdr:row>
      <xdr:rowOff>71718</xdr:rowOff>
    </xdr:to>
    <xdr:sp macro="" textlink="">
      <xdr:nvSpPr>
        <xdr:cNvPr id="3" name="TextBox 2"/>
        <xdr:cNvSpPr txBox="1"/>
      </xdr:nvSpPr>
      <xdr:spPr>
        <a:xfrm>
          <a:off x="8095130" y="162560"/>
          <a:ext cx="2611120" cy="447040"/>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Fill in the blue cells to obtain</a:t>
          </a:r>
          <a:r>
            <a:rPr lang="en-US" sz="1100" baseline="0"/>
            <a:t> a jacket loss estimate for your storage water heater.</a:t>
          </a:r>
          <a:endParaRPr lang="en-US" sz="1100"/>
        </a:p>
      </xdr:txBody>
    </xdr:sp>
    <xdr:clientData/>
  </xdr:twoCellAnchor>
  <xdr:twoCellAnchor>
    <xdr:from>
      <xdr:col>4</xdr:col>
      <xdr:colOff>1792</xdr:colOff>
      <xdr:row>33</xdr:row>
      <xdr:rowOff>179293</xdr:rowOff>
    </xdr:from>
    <xdr:to>
      <xdr:col>9</xdr:col>
      <xdr:colOff>197223</xdr:colOff>
      <xdr:row>48</xdr:row>
      <xdr:rowOff>125506</xdr:rowOff>
    </xdr:to>
    <xdr:sp macro="" textlink="">
      <xdr:nvSpPr>
        <xdr:cNvPr id="4" name="TextBox 3"/>
        <xdr:cNvSpPr txBox="1"/>
      </xdr:nvSpPr>
      <xdr:spPr>
        <a:xfrm>
          <a:off x="8087957" y="6095999"/>
          <a:ext cx="3243431" cy="2635625"/>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If you are considering a tankless heater to replace your storage</a:t>
          </a:r>
          <a:r>
            <a:rPr lang="en-US" sz="1100" baseline="0"/>
            <a:t> heater, fill in this section to find out your payback period.</a:t>
          </a:r>
          <a:endParaRPr lang="en-US" sz="1100"/>
        </a:p>
        <a:p>
          <a:endParaRPr lang="en-US" sz="1100"/>
        </a:p>
        <a:p>
          <a:r>
            <a:rPr lang="en-US" sz="1100"/>
            <a:t>For the payback calculation,</a:t>
          </a:r>
          <a:r>
            <a:rPr lang="en-US" sz="1100" baseline="0"/>
            <a:t> we assume that jacket losses are useful, and help provide space heating.</a:t>
          </a:r>
        </a:p>
        <a:p>
          <a:endParaRPr lang="en-US" sz="1100" baseline="0"/>
        </a:p>
        <a:p>
          <a:r>
            <a:rPr lang="en-US" sz="1100" baseline="0"/>
            <a:t>Also, remember that payback is only one variable that you should consider in your decision to install a tankless heater, as they have many pros and cons.</a:t>
          </a:r>
        </a:p>
        <a:p>
          <a:endParaRPr lang="en-US" sz="1100" baseline="0"/>
        </a:p>
        <a:p>
          <a:r>
            <a:rPr lang="en-US" sz="1100" baseline="0"/>
            <a:t>See </a:t>
          </a:r>
          <a:r>
            <a:rPr lang="en-US" sz="1100" baseline="0">
              <a:solidFill>
                <a:srgbClr val="0070C0"/>
              </a:solidFill>
            </a:rPr>
            <a:t>www.cchrc.org</a:t>
          </a:r>
          <a:r>
            <a:rPr lang="en-US" sz="1100" baseline="0"/>
            <a:t> and </a:t>
          </a:r>
          <a:r>
            <a:rPr lang="en-US" sz="1100" baseline="0">
              <a:solidFill>
                <a:srgbClr val="0070C0"/>
              </a:solidFill>
            </a:rPr>
            <a:t>www.cchrc.org/yourhouse/home.htm</a:t>
          </a:r>
          <a:r>
            <a:rPr lang="en-US" sz="1100" baseline="0"/>
            <a:t> for more information on domestic hot water options.</a:t>
          </a:r>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182880</xdr:colOff>
      <xdr:row>1</xdr:row>
      <xdr:rowOff>167640</xdr:rowOff>
    </xdr:from>
    <xdr:to>
      <xdr:col>8</xdr:col>
      <xdr:colOff>205740</xdr:colOff>
      <xdr:row>13</xdr:row>
      <xdr:rowOff>175260</xdr:rowOff>
    </xdr:to>
    <xdr:sp macro="" textlink="">
      <xdr:nvSpPr>
        <xdr:cNvPr id="2" name="TextBox 1"/>
        <xdr:cNvSpPr txBox="1"/>
      </xdr:nvSpPr>
      <xdr:spPr>
        <a:xfrm>
          <a:off x="5372100" y="350520"/>
          <a:ext cx="2461260" cy="2202180"/>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Fill in the blue squares to find out an</a:t>
          </a:r>
          <a:r>
            <a:rPr lang="en-US" sz="1100" baseline="0"/>
            <a:t> estimate of your family's weekly</a:t>
          </a:r>
        </a:p>
        <a:p>
          <a:r>
            <a:rPr lang="en-US" sz="1100" baseline="0"/>
            <a:t>hot water consumption.  Remember to calculate the energy used for your weekly domestic hot water, you only have to consider the activities that you use hot water for! </a:t>
          </a:r>
        </a:p>
        <a:p>
          <a:endParaRPr lang="en-US" sz="1100" baseline="0"/>
        </a:p>
        <a:p>
          <a:r>
            <a:rPr lang="en-US" sz="1100" baseline="0"/>
            <a:t>The water usage values are from the United States Department of Energy.  For more information, check out their website: </a:t>
          </a:r>
          <a:r>
            <a:rPr lang="en-US" sz="1100" baseline="0">
              <a:solidFill>
                <a:srgbClr val="0070C0"/>
              </a:solidFill>
            </a:rPr>
            <a:t>www.energy.com</a:t>
          </a:r>
          <a:r>
            <a:rPr lang="en-US" sz="1100" baseline="0">
              <a:solidFill>
                <a:sysClr val="windowText" lastClr="000000"/>
              </a:solidFill>
            </a:rPr>
            <a:t>.</a:t>
          </a:r>
          <a:r>
            <a:rPr lang="en-US" sz="1100" baseline="0">
              <a:solidFill>
                <a:srgbClr val="0070C0"/>
              </a:solidFill>
            </a:rPr>
            <a:t> </a:t>
          </a:r>
          <a:endParaRPr lang="en-US" sz="1100" baseline="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92286</xdr:colOff>
      <xdr:row>9</xdr:row>
      <xdr:rowOff>1693</xdr:rowOff>
    </xdr:from>
    <xdr:to>
      <xdr:col>15</xdr:col>
      <xdr:colOff>503766</xdr:colOff>
      <xdr:row>14</xdr:row>
      <xdr:rowOff>93133</xdr:rowOff>
    </xdr:to>
    <xdr:sp macro="" textlink="">
      <xdr:nvSpPr>
        <xdr:cNvPr id="2" name="TextBox 1"/>
        <xdr:cNvSpPr txBox="1"/>
      </xdr:nvSpPr>
      <xdr:spPr>
        <a:xfrm>
          <a:off x="12055686" y="1678093"/>
          <a:ext cx="1630680" cy="10227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a:t>Estimates</a:t>
          </a:r>
          <a:r>
            <a:rPr lang="en-US" sz="1100" baseline="0"/>
            <a:t> of freeze protection using data from Schoenbauer, et. al. and the AK Climate Research Center</a:t>
          </a:r>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dimension ref="A1:J32"/>
  <sheetViews>
    <sheetView topLeftCell="A4" workbookViewId="0">
      <selection sqref="A1:XFD1048576"/>
    </sheetView>
  </sheetViews>
  <sheetFormatPr defaultColWidth="0" defaultRowHeight="15" zeroHeight="1"/>
  <cols>
    <col min="1" max="10" width="8.85546875" customWidth="1"/>
    <col min="11" max="16384" width="8.85546875" hidden="1"/>
  </cols>
  <sheetData>
    <row r="1" spans="1:1"/>
    <row r="2" spans="1:1">
      <c r="A2" s="41"/>
    </row>
    <row r="3" spans="1:1">
      <c r="A3" s="41"/>
    </row>
    <row r="4" spans="1:1"/>
    <row r="5" spans="1:1">
      <c r="A5" s="41"/>
    </row>
    <row r="6" spans="1:1">
      <c r="A6" s="41"/>
    </row>
    <row r="7" spans="1:1">
      <c r="A7" s="41"/>
    </row>
    <row r="8" spans="1:1"/>
    <row r="9" spans="1:1">
      <c r="A9" s="41"/>
    </row>
    <row r="10" spans="1:1">
      <c r="A10" s="41"/>
    </row>
    <row r="11" spans="1:1">
      <c r="A11" s="41"/>
    </row>
    <row r="12" spans="1:1">
      <c r="A12" s="41"/>
    </row>
    <row r="13" spans="1:1"/>
    <row r="14" spans="1:1"/>
    <row r="15" spans="1:1"/>
    <row r="16" spans="1:1"/>
    <row r="17"/>
    <row r="18"/>
    <row r="19"/>
    <row r="20"/>
    <row r="21"/>
    <row r="22"/>
    <row r="23"/>
    <row r="24"/>
    <row r="25"/>
    <row r="26"/>
    <row r="27"/>
    <row r="28"/>
    <row r="29"/>
    <row r="30"/>
    <row r="31"/>
    <row r="32"/>
  </sheetData>
  <sheetProtection password="8D01" sheet="1" objects="1" scenarios="1"/>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dimension ref="A1:C52"/>
  <sheetViews>
    <sheetView tabSelected="1" topLeftCell="A19" zoomScale="85" zoomScaleNormal="85" workbookViewId="0">
      <selection activeCell="C37" sqref="C37"/>
    </sheetView>
  </sheetViews>
  <sheetFormatPr defaultColWidth="8.85546875" defaultRowHeight="15"/>
  <cols>
    <col min="1" max="1" width="63.7109375" style="74" bestFit="1" customWidth="1"/>
    <col min="2" max="2" width="32.85546875" style="76" bestFit="1" customWidth="1"/>
    <col min="3" max="3" width="12.28515625" style="76" bestFit="1" customWidth="1"/>
    <col min="4" max="16384" width="8.85546875" style="74"/>
  </cols>
  <sheetData>
    <row r="1" spans="1:3">
      <c r="C1" s="76" t="s">
        <v>3</v>
      </c>
    </row>
    <row r="2" spans="1:3">
      <c r="A2" s="71" t="s">
        <v>0</v>
      </c>
      <c r="B2" s="69" t="s">
        <v>6</v>
      </c>
    </row>
    <row r="3" spans="1:3">
      <c r="A3" s="72" t="s">
        <v>1</v>
      </c>
      <c r="B3" s="69" t="s">
        <v>12</v>
      </c>
    </row>
    <row r="4" spans="1:3">
      <c r="A4" s="73" t="s">
        <v>2</v>
      </c>
      <c r="B4" s="69" t="s">
        <v>189</v>
      </c>
    </row>
    <row r="5" spans="1:3">
      <c r="A5" s="74" t="str">
        <f>IF(B4="Yes","Enter Fuel Price to the right (watch the unit):","")</f>
        <v>Enter Fuel Price to the right (watch the unit):</v>
      </c>
      <c r="B5" s="70">
        <v>5</v>
      </c>
      <c r="C5" s="76" t="str">
        <f>IF(AND(B4="Yes",B3="Electricity"),'AkWarm 2011 Prices'!G3,IF(AND(B4="Yes",B3="Fuel Oil No. 1"),'AkWarm 2011 Prices'!G4, IF(AND(B4="Yes",B3="Fuel Oil No. 2"),'AkWarm 2011 Prices'!G5,IF(AND(B4="Yes",B3="Natural Gas"),'AkWarm 2011 Prices'!G6,IF(AND(B4="Yes",B3="Propane"),'AkWarm 2011 Prices'!G7,"")))))</f>
        <v>$/gallon</v>
      </c>
    </row>
    <row r="6" spans="1:3">
      <c r="A6" s="74" t="str">
        <f>IF(B4="Use default value from AkWarm 2011","Default value from AkWarm 2011","")</f>
        <v/>
      </c>
      <c r="B6" s="75" t="str">
        <f>IF(B4="Use default value from AkWarm 2011",INDEX('AkWarm 2011 Prices'!B3:F7, MATCH(B3, 'AkWarm 2011 Prices'!A3:A7), MATCH(B2,'AkWarm 2011 Prices'!B2:F2,0)),"")</f>
        <v/>
      </c>
      <c r="C6" s="76" t="str">
        <f>IF(AND(B4="Use default value from AkWarm 2011",B3="Electricity"),'AkWarm 2011 Prices'!G3,IF(AND(B4="Use default value from AkWarm 2011",B3="Fuel Oil No. 1"),'AkWarm 2011 Prices'!G4, IF(AND(B4="Use default value from AkWarm 2011",B3="Fuel Oil No. 2"),'AkWarm 2011 Prices'!G5,IF(AND(B4="Use default value from AkWarm 2011",B3="Natural Gas"),'AkWarm 2011 Prices'!G6,IF(AND(B4="Use default value from AkWarm 2011",B3="Propane"),'AkWarm 2011 Prices'!G7,"")))))</f>
        <v/>
      </c>
    </row>
    <row r="7" spans="1:3">
      <c r="B7" s="83"/>
    </row>
    <row r="10" spans="1:3">
      <c r="A10" s="77" t="s">
        <v>18</v>
      </c>
    </row>
    <row r="12" spans="1:3">
      <c r="A12" s="74" t="s">
        <v>19</v>
      </c>
      <c r="B12" s="69">
        <v>80</v>
      </c>
      <c r="C12" s="76" t="s">
        <v>20</v>
      </c>
    </row>
    <row r="13" spans="1:3">
      <c r="A13" s="79" t="s">
        <v>21</v>
      </c>
      <c r="B13" s="69" t="s">
        <v>188</v>
      </c>
    </row>
    <row r="14" spans="1:3">
      <c r="A14" s="74" t="str">
        <f>IF(B13="Yes","Enter the R-value:","")</f>
        <v/>
      </c>
      <c r="B14" s="70">
        <v>28</v>
      </c>
      <c r="C14" s="76" t="str">
        <f>IF(B13="Yes","(ft2hr°F)/BTU","")</f>
        <v/>
      </c>
    </row>
    <row r="15" spans="1:3">
      <c r="A15" s="74" t="str">
        <f>IF(B13="Use default R-value","Default R-value:","")</f>
        <v>Default R-value:</v>
      </c>
      <c r="B15" s="75">
        <f>IF(B13="Use default R-value",16,"")</f>
        <v>16</v>
      </c>
      <c r="C15" s="76" t="str">
        <f>IF(B13="Use default R-value","(ft2hr°F)/BTU","")</f>
        <v>(ft2hr°F)/BTU</v>
      </c>
    </row>
    <row r="16" spans="1:3">
      <c r="A16" s="74" t="s">
        <v>22</v>
      </c>
      <c r="B16" s="69">
        <v>130</v>
      </c>
      <c r="C16" s="76" t="s">
        <v>24</v>
      </c>
    </row>
    <row r="17" spans="1:3">
      <c r="A17" s="79" t="s">
        <v>23</v>
      </c>
      <c r="B17" s="69">
        <v>55</v>
      </c>
      <c r="C17" s="76" t="s">
        <v>24</v>
      </c>
    </row>
    <row r="18" spans="1:3">
      <c r="A18" s="79"/>
      <c r="B18" s="84"/>
    </row>
    <row r="20" spans="1:3">
      <c r="A20" s="77" t="s">
        <v>105</v>
      </c>
      <c r="B20" s="80">
        <f ca="1">IF(OR(B12=0, 'Inputs for Jacket Loss'!B1=0,B16=0,B17=0,B17&gt;B16),"Check Inputs",'Jacket Loss Calculations'!I14)</f>
        <v>148.19010550314459</v>
      </c>
      <c r="C20" s="76" t="s">
        <v>95</v>
      </c>
    </row>
    <row r="22" spans="1:3">
      <c r="A22" s="74" t="s">
        <v>96</v>
      </c>
      <c r="B22" s="81">
        <f ca="1">IF(B20="Check Inputs", "", B20*24*365)</f>
        <v>1298145.3242075467</v>
      </c>
      <c r="C22" s="76" t="s">
        <v>93</v>
      </c>
    </row>
    <row r="23" spans="1:3">
      <c r="A23" s="79"/>
    </row>
    <row r="24" spans="1:3">
      <c r="A24" s="74" t="s">
        <v>106</v>
      </c>
      <c r="B24" s="82">
        <f ca="1">IF(B20="Check Inputs","",IF(B3="Electricity", B22/3413, IF(B3="Fuel Oil No. 1", B22/132000, IF(B3="Fuel Oil No. 2", B22/138000, IF(B3="Natural Gas", B22/100000, IF(B3="Propane", B22/91800, ""))))))</f>
        <v>9.8344342742995963</v>
      </c>
      <c r="C24" s="76" t="str">
        <f>IF(B3="Electricity", "kWh/year", IF(B3="Fuel Oil No. 1", "gallons/year", IF(B3="Fuel Oil No. 2", "gallons/year", IF(B3="Natural Gas", "CCF/year", IF(B3="Propane", "gallons/year","")))))</f>
        <v>gallons/year</v>
      </c>
    </row>
    <row r="25" spans="1:3">
      <c r="A25" s="74" t="s">
        <v>157</v>
      </c>
      <c r="B25" s="93" t="str">
        <f ca="1">IF(B20="Check Inputs","",IF(AND(B3="Electricity", B4="Yes"), B24*B5,IF(AND(B3 = "Electricity", B4 = "Use default value from AkWarm 2011"), B24*B6,"")))</f>
        <v/>
      </c>
      <c r="C25" s="76" t="str">
        <f>IF(B3="Electricity", "$/year", "")</f>
        <v/>
      </c>
    </row>
    <row r="26" spans="1:3">
      <c r="B26" s="93">
        <f ca="1">IF(B20="Check Inputs","",IF(AND(B3="Fuel Oil No. 1", B4="Yes"), B24*B5,IF(AND(B3 = "Fuel Oil No. 1", B4 = "Use default value from AkWarm 2011"), B24*B6,"")))</f>
        <v>49.172171371497981</v>
      </c>
      <c r="C26" s="76" t="str">
        <f>IF(B3="Fuel Oil No. 1", "$/year", "")</f>
        <v>$/year</v>
      </c>
    </row>
    <row r="27" spans="1:3">
      <c r="B27" s="93" t="str">
        <f ca="1">IF(B20="Check Inputs","",IF(AND(B3="Fuel Oil No. 2", B4="Yes"), B24*B5,IF(AND(B3 = "Fuel Oil No. 2", B4 = "Use default value from AkWarm 2011"), B24*B6,"")))</f>
        <v/>
      </c>
      <c r="C27" s="76" t="str">
        <f>IF(B3="Fuel Oil No. 2", "$/year", "")</f>
        <v/>
      </c>
    </row>
    <row r="28" spans="1:3">
      <c r="B28" s="93" t="str">
        <f ca="1">IF(B20="Check Inputs","",IF(AND(B3="Natural Gas", B4="Yes"), B24*B5,IF(AND(B3 = "Natural Gas", B4 = "Use default value from AkWarm 2011"), B24*B6,"")))</f>
        <v/>
      </c>
      <c r="C28" s="76" t="str">
        <f>IF(B3="Natural Gas", "$/year", "")</f>
        <v/>
      </c>
    </row>
    <row r="29" spans="1:3">
      <c r="B29" s="93" t="str">
        <f ca="1">IF(B20="Check Inputs","",IF(AND(B3="Propane", B4="Yes"), B24*B5,IF(AND(B3 = "Propane", B4 = "Use default value from AkWarm 2011"), B24*B6,"")))</f>
        <v/>
      </c>
      <c r="C29" s="76" t="str">
        <f>IF(B3="Propane", "$/year", "")</f>
        <v/>
      </c>
    </row>
    <row r="30" spans="1:3">
      <c r="B30" s="83"/>
    </row>
    <row r="31" spans="1:3">
      <c r="B31" s="83"/>
    </row>
    <row r="32" spans="1:3">
      <c r="B32" s="83"/>
    </row>
    <row r="33" spans="1:3">
      <c r="B33" s="83"/>
    </row>
    <row r="35" spans="1:3">
      <c r="A35" s="77" t="s">
        <v>107</v>
      </c>
    </row>
    <row r="36" spans="1:3">
      <c r="A36" s="78" t="s">
        <v>148</v>
      </c>
    </row>
    <row r="37" spans="1:3">
      <c r="A37" s="78" t="s">
        <v>149</v>
      </c>
    </row>
    <row r="38" spans="1:3">
      <c r="A38" s="78"/>
    </row>
    <row r="39" spans="1:3">
      <c r="A39" s="74" t="s">
        <v>108</v>
      </c>
      <c r="B39" s="69">
        <v>1000</v>
      </c>
      <c r="C39" s="76" t="s">
        <v>109</v>
      </c>
    </row>
    <row r="40" spans="1:3">
      <c r="A40" s="74" t="s">
        <v>112</v>
      </c>
      <c r="B40" s="69">
        <v>95</v>
      </c>
      <c r="C40" s="76" t="s">
        <v>111</v>
      </c>
    </row>
    <row r="41" spans="1:3">
      <c r="B41" s="83"/>
    </row>
    <row r="42" spans="1:3">
      <c r="A42" s="74" t="s">
        <v>110</v>
      </c>
      <c r="B42" s="69">
        <v>500</v>
      </c>
      <c r="C42" s="76" t="s">
        <v>109</v>
      </c>
    </row>
    <row r="43" spans="1:3">
      <c r="A43" s="79" t="s">
        <v>113</v>
      </c>
      <c r="B43" s="69">
        <v>70</v>
      </c>
      <c r="C43" s="76" t="s">
        <v>111</v>
      </c>
    </row>
    <row r="44" spans="1:3">
      <c r="A44" s="79"/>
      <c r="B44" s="84"/>
    </row>
    <row r="45" spans="1:3">
      <c r="A45" s="79" t="s">
        <v>185</v>
      </c>
      <c r="B45" s="69">
        <v>200</v>
      </c>
      <c r="C45" s="76" t="s">
        <v>20</v>
      </c>
    </row>
    <row r="46" spans="1:3">
      <c r="A46" s="79"/>
      <c r="B46" s="84"/>
    </row>
    <row r="47" spans="1:3">
      <c r="A47" s="79" t="s">
        <v>177</v>
      </c>
      <c r="B47" s="96">
        <f ca="1">IF(AND('Payback Calculations'!J29=TRUE, 'Payback Calculations'!F25&gt;0), 'Payback Calculations'!F25, "No savings")</f>
        <v>44.336203773588046</v>
      </c>
      <c r="C47" s="76" t="s">
        <v>109</v>
      </c>
    </row>
    <row r="48" spans="1:3">
      <c r="A48" s="95" t="s">
        <v>178</v>
      </c>
      <c r="B48" s="84"/>
    </row>
    <row r="49" spans="1:3">
      <c r="A49" s="79"/>
      <c r="B49" s="94"/>
    </row>
    <row r="50" spans="1:3">
      <c r="A50" s="79"/>
      <c r="B50" s="84"/>
    </row>
    <row r="51" spans="1:3">
      <c r="A51" s="79" t="s">
        <v>135</v>
      </c>
      <c r="B51" s="85">
        <f ca="1">IF(B42=B39,"No payback", IF(AND('Payback Calculations'!J30=TRUE, 'Payback Calculations'!F31&gt;0), 'Payback Calculations'!F31, "No payback"))</f>
        <v>11.277465309239215</v>
      </c>
      <c r="C51" s="76" t="s">
        <v>114</v>
      </c>
    </row>
    <row r="52" spans="1:3">
      <c r="A52" s="78" t="s">
        <v>151</v>
      </c>
    </row>
  </sheetData>
  <sheetProtection password="8D01" sheet="1" objects="1" scenarios="1"/>
  <dataValidations count="12">
    <dataValidation type="list" allowBlank="1" showInputMessage="1" showErrorMessage="1" sqref="B17:B18">
      <formula1>"50, 55, 60, 65, 70, 75, 80"</formula1>
    </dataValidation>
    <dataValidation type="list" allowBlank="1" showInputMessage="1" showErrorMessage="1" sqref="B2">
      <formula1>'AkWarm 2011 Prices'!B2:F2</formula1>
    </dataValidation>
    <dataValidation type="list" allowBlank="1" showInputMessage="1" showErrorMessage="1" sqref="B3">
      <formula1>'AkWarm 2011 Prices'!A3:A7</formula1>
    </dataValidation>
    <dataValidation type="list" allowBlank="1" showInputMessage="1" showErrorMessage="1" sqref="B4">
      <formula1>"Yes, Use default value from AkWarm 2011"</formula1>
    </dataValidation>
    <dataValidation type="list" allowBlank="1" showInputMessage="1" showErrorMessage="1" sqref="B12">
      <formula1>"40, 45, 50, 55, 60, 65, 70, 75, 80, 85, 90"</formula1>
    </dataValidation>
    <dataValidation type="list" allowBlank="1" showInputMessage="1" showErrorMessage="1" promptTitle="R-value" prompt="Some manufacturers list the R-value of the tank walls in the manual for the storage water heater." sqref="B13">
      <formula1>"Yes, Use default R-value"</formula1>
    </dataValidation>
    <dataValidation type="list" allowBlank="1" showInputMessage="1" showErrorMessage="1" promptTitle="Water Temperature" prompt="The water temperature can be found, and changed, using a meter or dial on most water tanks." sqref="B16">
      <formula1>"120, 125, 130, 135, 140, 145, 150"</formula1>
    </dataValidation>
    <dataValidation type="list" allowBlank="1" showInputMessage="1" showErrorMessage="1" sqref="B14">
      <formula1>"10, 12, 14, 16, 18, 20, 22, 24, 26, 28, 30"</formula1>
    </dataValidation>
    <dataValidation allowBlank="1" showInputMessage="1" showErrorMessage="1" promptTitle="Capital Cost" prompt="The capital cost of the tankless heater should include the unit's cost and the price of installation." sqref="B39"/>
    <dataValidation allowBlank="1" showInputMessage="1" showErrorMessage="1" promptTitle="Capital Cost" prompt="The capital cost of the storage tank heater should include the unit's cost and the price of installation." sqref="B42"/>
    <dataValidation type="decimal" allowBlank="1" showInputMessage="1" showErrorMessage="1" promptTitle="Energy Factor (EF)" prompt="The EF is a percentage between 0 and 100% that indicates how efficient the water heater is.  The EF can be found in the appliance manual and on the Energy Guide sticker." sqref="B43">
      <formula1>0</formula1>
      <formula2>100</formula2>
    </dataValidation>
    <dataValidation type="decimal" allowBlank="1" showInputMessage="1" showErrorMessage="1" promptTitle="Energy Factor (EF)" prompt="The EF is a percentage between 0 and 100% that indicates how efficient the water heater is.  The EF can be found in the appliance manual and on the Energy Guide sticker." sqref="B40">
      <formula1>0</formula1>
      <formula2>100</formula2>
    </dataValidation>
  </dataValidations>
  <pageMargins left="0.7" right="0.7" top="0.75" bottom="0.75" header="0.3" footer="0.3"/>
  <pageSetup orientation="landscape" r:id="rId1"/>
  <drawing r:id="rId2"/>
</worksheet>
</file>

<file path=xl/worksheets/sheet3.xml><?xml version="1.0" encoding="utf-8"?>
<worksheet xmlns="http://schemas.openxmlformats.org/spreadsheetml/2006/main" xmlns:r="http://schemas.openxmlformats.org/officeDocument/2006/relationships">
  <dimension ref="A1:D16"/>
  <sheetViews>
    <sheetView workbookViewId="0">
      <selection activeCell="B14" sqref="B14"/>
    </sheetView>
  </sheetViews>
  <sheetFormatPr defaultColWidth="8.85546875" defaultRowHeight="15"/>
  <cols>
    <col min="1" max="1" width="35.5703125" style="74" bestFit="1" customWidth="1"/>
    <col min="2" max="2" width="13.7109375" style="74" bestFit="1" customWidth="1"/>
    <col min="3" max="3" width="19.7109375" style="74" bestFit="1" customWidth="1"/>
    <col min="4" max="16384" width="8.85546875" style="74"/>
  </cols>
  <sheetData>
    <row r="1" spans="1:4">
      <c r="A1" s="77" t="s">
        <v>184</v>
      </c>
    </row>
    <row r="4" spans="1:4">
      <c r="A4" s="74" t="s">
        <v>143</v>
      </c>
      <c r="B4" s="76" t="s">
        <v>182</v>
      </c>
      <c r="C4" s="76" t="s">
        <v>147</v>
      </c>
      <c r="D4" s="76" t="s">
        <v>144</v>
      </c>
    </row>
    <row r="5" spans="1:4">
      <c r="B5" s="76"/>
      <c r="C5" s="87"/>
      <c r="D5" s="76"/>
    </row>
    <row r="7" spans="1:4">
      <c r="A7" s="74" t="s">
        <v>145</v>
      </c>
      <c r="B7" s="69">
        <v>20</v>
      </c>
      <c r="C7" s="76">
        <v>1</v>
      </c>
      <c r="D7" s="76">
        <f>B7*C7</f>
        <v>20</v>
      </c>
    </row>
    <row r="8" spans="1:4">
      <c r="A8" s="74" t="s">
        <v>153</v>
      </c>
      <c r="B8" s="69">
        <v>3</v>
      </c>
      <c r="C8" s="76">
        <v>10</v>
      </c>
      <c r="D8" s="76">
        <f t="shared" ref="D8:D13" si="0">B8*C8</f>
        <v>30</v>
      </c>
    </row>
    <row r="9" spans="1:4">
      <c r="A9" s="79" t="s">
        <v>152</v>
      </c>
      <c r="B9" s="69">
        <v>2</v>
      </c>
      <c r="C9" s="76">
        <v>2</v>
      </c>
      <c r="D9" s="76">
        <f t="shared" si="0"/>
        <v>4</v>
      </c>
    </row>
    <row r="10" spans="1:4">
      <c r="A10" s="79" t="s">
        <v>154</v>
      </c>
      <c r="B10" s="69">
        <v>7</v>
      </c>
      <c r="C10" s="76">
        <v>4</v>
      </c>
      <c r="D10" s="76">
        <f t="shared" si="0"/>
        <v>28</v>
      </c>
    </row>
    <row r="11" spans="1:4">
      <c r="A11" s="79" t="s">
        <v>146</v>
      </c>
      <c r="B11" s="69">
        <v>7</v>
      </c>
      <c r="C11" s="76">
        <v>4</v>
      </c>
      <c r="D11" s="76">
        <f t="shared" si="0"/>
        <v>28</v>
      </c>
    </row>
    <row r="12" spans="1:4">
      <c r="A12" s="79" t="s">
        <v>155</v>
      </c>
      <c r="B12" s="69">
        <v>0</v>
      </c>
      <c r="C12" s="76">
        <v>6</v>
      </c>
      <c r="D12" s="76">
        <f t="shared" si="0"/>
        <v>0</v>
      </c>
    </row>
    <row r="13" spans="1:4">
      <c r="A13" s="79" t="s">
        <v>156</v>
      </c>
      <c r="B13" s="86">
        <v>2</v>
      </c>
      <c r="C13" s="76">
        <v>7</v>
      </c>
      <c r="D13" s="76">
        <f t="shared" si="0"/>
        <v>14</v>
      </c>
    </row>
    <row r="14" spans="1:4">
      <c r="A14" s="79"/>
      <c r="B14" s="88"/>
      <c r="C14" s="76"/>
      <c r="D14" s="76"/>
    </row>
    <row r="16" spans="1:4">
      <c r="A16" s="74" t="s">
        <v>183</v>
      </c>
      <c r="D16" s="89">
        <f>SUM(D7:D14)</f>
        <v>124</v>
      </c>
    </row>
  </sheetData>
  <sheetProtection password="8D01" sheet="1" objects="1" scenarios="1"/>
  <pageMargins left="0.7" right="0.7" top="0.75" bottom="0.75" header="0.3" footer="0.3"/>
  <pageSetup orientation="landscape" r:id="rId1"/>
  <drawing r:id="rId2"/>
</worksheet>
</file>

<file path=xl/worksheets/sheet4.xml><?xml version="1.0" encoding="utf-8"?>
<worksheet xmlns="http://schemas.openxmlformats.org/spreadsheetml/2006/main" xmlns:r="http://schemas.openxmlformats.org/officeDocument/2006/relationships">
  <dimension ref="A1:C23"/>
  <sheetViews>
    <sheetView zoomScale="75" zoomScaleNormal="75" workbookViewId="0">
      <selection activeCell="B1" sqref="B1"/>
    </sheetView>
  </sheetViews>
  <sheetFormatPr defaultColWidth="8.85546875" defaultRowHeight="15"/>
  <cols>
    <col min="1" max="1" width="28.85546875" style="41" bestFit="1" customWidth="1"/>
    <col min="2" max="2" width="8.85546875" style="42"/>
    <col min="3" max="3" width="12.28515625" style="42" bestFit="1" customWidth="1"/>
    <col min="4" max="16384" width="8.85546875" style="41"/>
  </cols>
  <sheetData>
    <row r="1" spans="1:3">
      <c r="A1" s="41" t="s">
        <v>25</v>
      </c>
      <c r="B1" s="10">
        <f>IF(AND('User Input'!B13="Yes",'User Input'!B14&gt;0),'User Input'!B14,IF(AND('User Input'!B13="Use default R-value",'User Input'!B15&gt;0),'User Input'!B15,0))</f>
        <v>16</v>
      </c>
      <c r="C1" s="42" t="s">
        <v>32</v>
      </c>
    </row>
    <row r="2" spans="1:3">
      <c r="A2" s="5" t="s">
        <v>26</v>
      </c>
      <c r="B2" s="28">
        <f>IF(B1&gt;0, B1, 10)</f>
        <v>16</v>
      </c>
      <c r="C2" s="6" t="s">
        <v>32</v>
      </c>
    </row>
    <row r="5" spans="1:3">
      <c r="A5" s="62" t="s">
        <v>27</v>
      </c>
    </row>
    <row r="6" spans="1:3">
      <c r="A6" s="41" t="s">
        <v>28</v>
      </c>
      <c r="B6" s="10">
        <v>16</v>
      </c>
      <c r="C6" s="42" t="s">
        <v>29</v>
      </c>
    </row>
    <row r="7" spans="1:3">
      <c r="A7" s="8" t="s">
        <v>30</v>
      </c>
      <c r="B7" s="29">
        <f>B6/2</f>
        <v>8</v>
      </c>
      <c r="C7" s="9" t="s">
        <v>29</v>
      </c>
    </row>
    <row r="8" spans="1:3">
      <c r="A8" s="7" t="s">
        <v>34</v>
      </c>
      <c r="B8" s="28">
        <f>B7/12</f>
        <v>0.66666666666666663</v>
      </c>
      <c r="C8" s="6" t="s">
        <v>33</v>
      </c>
    </row>
    <row r="9" spans="1:3">
      <c r="A9" s="8"/>
      <c r="B9" s="9"/>
      <c r="C9" s="9"/>
    </row>
    <row r="11" spans="1:3">
      <c r="A11" s="41" t="s">
        <v>31</v>
      </c>
      <c r="B11" s="10">
        <f>'User Input'!B12</f>
        <v>80</v>
      </c>
      <c r="C11" s="42" t="s">
        <v>20</v>
      </c>
    </row>
    <row r="12" spans="1:3" ht="17.25">
      <c r="A12" s="41" t="s">
        <v>36</v>
      </c>
      <c r="B12" s="10">
        <f>B11 * 0.13368056</f>
        <v>10.694444799999999</v>
      </c>
      <c r="C12" s="42" t="s">
        <v>35</v>
      </c>
    </row>
    <row r="14" spans="1:3">
      <c r="A14" s="8" t="s">
        <v>37</v>
      </c>
      <c r="B14" s="29">
        <f>B12/(3.14 * B8^2)</f>
        <v>7.6632168152866242</v>
      </c>
      <c r="C14" s="9" t="s">
        <v>38</v>
      </c>
    </row>
    <row r="15" spans="1:3">
      <c r="A15" s="7" t="s">
        <v>39</v>
      </c>
      <c r="B15" s="28">
        <f>IF(B14&gt;0, B14,5)</f>
        <v>7.6632168152866242</v>
      </c>
      <c r="C15" s="6" t="s">
        <v>38</v>
      </c>
    </row>
    <row r="18" spans="1:3">
      <c r="A18" s="41" t="s">
        <v>40</v>
      </c>
      <c r="B18" s="10">
        <f>'User Input'!B16</f>
        <v>130</v>
      </c>
      <c r="C18" s="42" t="s">
        <v>41</v>
      </c>
    </row>
    <row r="19" spans="1:3">
      <c r="B19" s="10">
        <f>B18+460</f>
        <v>590</v>
      </c>
      <c r="C19" s="42" t="s">
        <v>42</v>
      </c>
    </row>
    <row r="20" spans="1:3">
      <c r="A20" s="7" t="s">
        <v>44</v>
      </c>
      <c r="B20" s="28">
        <f>IF(AND(B18&gt;B21,B18&gt;0),B18,140)</f>
        <v>130</v>
      </c>
      <c r="C20" s="6" t="s">
        <v>41</v>
      </c>
    </row>
    <row r="21" spans="1:3">
      <c r="A21" s="41" t="s">
        <v>43</v>
      </c>
      <c r="B21" s="10">
        <f>'User Input'!B17</f>
        <v>55</v>
      </c>
      <c r="C21" s="42" t="s">
        <v>41</v>
      </c>
    </row>
    <row r="22" spans="1:3">
      <c r="B22" s="10">
        <f>B21+460</f>
        <v>515</v>
      </c>
      <c r="C22" s="42" t="s">
        <v>42</v>
      </c>
    </row>
    <row r="23" spans="1:3">
      <c r="A23" s="7" t="s">
        <v>46</v>
      </c>
      <c r="B23" s="28">
        <f>IF(AND(B21&gt;0, B18&gt;B21),B21,50)</f>
        <v>55</v>
      </c>
      <c r="C23" s="6" t="s">
        <v>42</v>
      </c>
    </row>
  </sheetData>
  <sheetProtection password="8D01" sheet="1" objects="1" scenario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dimension ref="A1:M50"/>
  <sheetViews>
    <sheetView zoomScale="75" zoomScaleNormal="75" workbookViewId="0">
      <selection activeCell="B20" sqref="B20"/>
    </sheetView>
  </sheetViews>
  <sheetFormatPr defaultRowHeight="15"/>
  <cols>
    <col min="1" max="1" width="33.7109375" bestFit="1" customWidth="1"/>
    <col min="2" max="3" width="14.42578125" style="2" bestFit="1" customWidth="1"/>
    <col min="8" max="8" width="17.140625" bestFit="1" customWidth="1"/>
    <col min="9" max="9" width="40.28515625" bestFit="1" customWidth="1"/>
    <col min="12" max="12" width="16" bestFit="1" customWidth="1"/>
  </cols>
  <sheetData>
    <row r="1" spans="1:13" s="11" customFormat="1">
      <c r="B1" s="12"/>
      <c r="C1" s="42" t="s">
        <v>3</v>
      </c>
    </row>
    <row r="2" spans="1:13" ht="18">
      <c r="A2" s="3" t="s">
        <v>45</v>
      </c>
      <c r="H2" s="17" t="s">
        <v>50</v>
      </c>
      <c r="I2" s="19" t="s">
        <v>51</v>
      </c>
    </row>
    <row r="3" spans="1:13">
      <c r="A3" s="1" t="s">
        <v>47</v>
      </c>
      <c r="B3" s="10">
        <f>'Inputs for Jacket Loss'!B2</f>
        <v>16</v>
      </c>
      <c r="C3" s="2" t="s">
        <v>32</v>
      </c>
      <c r="H3" s="13"/>
      <c r="I3" s="21"/>
    </row>
    <row r="4" spans="1:13" ht="20.25">
      <c r="A4" s="1" t="s">
        <v>30</v>
      </c>
      <c r="B4" s="10">
        <f>'Inputs for Jacket Loss'!B8</f>
        <v>0.66666666666666663</v>
      </c>
      <c r="C4" s="2" t="s">
        <v>38</v>
      </c>
      <c r="H4" s="23" t="s">
        <v>52</v>
      </c>
      <c r="I4" s="21" t="s">
        <v>53</v>
      </c>
    </row>
    <row r="5" spans="1:13">
      <c r="A5" s="1" t="s">
        <v>37</v>
      </c>
      <c r="B5" s="10">
        <f>'Inputs for Jacket Loss'!B15</f>
        <v>7.6632168152866242</v>
      </c>
      <c r="C5" s="2" t="s">
        <v>38</v>
      </c>
      <c r="H5" s="13"/>
      <c r="I5" s="21"/>
    </row>
    <row r="6" spans="1:13" ht="20.25">
      <c r="A6" s="1" t="s">
        <v>48</v>
      </c>
      <c r="B6" s="10">
        <f>'Inputs for Jacket Loss'!B20</f>
        <v>130</v>
      </c>
      <c r="C6" s="42" t="s">
        <v>41</v>
      </c>
      <c r="H6" s="23" t="s">
        <v>54</v>
      </c>
      <c r="I6" s="21" t="s">
        <v>55</v>
      </c>
    </row>
    <row r="7" spans="1:13">
      <c r="A7" s="1" t="s">
        <v>49</v>
      </c>
      <c r="B7" s="10">
        <f>'Inputs for Jacket Loss'!B23</f>
        <v>55</v>
      </c>
      <c r="C7" s="42" t="s">
        <v>42</v>
      </c>
      <c r="H7" s="13"/>
      <c r="I7" s="21"/>
    </row>
    <row r="8" spans="1:13" ht="20.25">
      <c r="H8" s="23" t="s">
        <v>56</v>
      </c>
      <c r="I8" s="21" t="s">
        <v>57</v>
      </c>
    </row>
    <row r="9" spans="1:13">
      <c r="H9" s="13"/>
      <c r="I9" s="21"/>
    </row>
    <row r="10" spans="1:13" ht="18">
      <c r="A10" s="17" t="s">
        <v>60</v>
      </c>
      <c r="B10" s="18"/>
      <c r="C10" s="25"/>
      <c r="H10" s="24" t="s">
        <v>58</v>
      </c>
      <c r="I10" s="22" t="s">
        <v>59</v>
      </c>
    </row>
    <row r="11" spans="1:13">
      <c r="A11" s="13"/>
      <c r="B11" s="20"/>
      <c r="C11" s="14"/>
    </row>
    <row r="12" spans="1:13" ht="17.25">
      <c r="A12" s="13" t="s">
        <v>61</v>
      </c>
      <c r="B12" s="26">
        <f xml:space="preserve"> 3.14 * B4^2</f>
        <v>1.3955555555555554</v>
      </c>
      <c r="C12" s="14" t="s">
        <v>64</v>
      </c>
    </row>
    <row r="13" spans="1:13">
      <c r="A13" s="13"/>
      <c r="B13" s="26"/>
      <c r="C13" s="14"/>
      <c r="I13" s="47" t="s">
        <v>92</v>
      </c>
      <c r="J13" s="57" t="s">
        <v>3</v>
      </c>
      <c r="K13" s="60"/>
      <c r="L13" s="57" t="s">
        <v>94</v>
      </c>
      <c r="M13" s="63" t="s">
        <v>3</v>
      </c>
    </row>
    <row r="14" spans="1:13" ht="17.25">
      <c r="A14" s="13" t="s">
        <v>62</v>
      </c>
      <c r="B14" s="26">
        <f xml:space="preserve"> 2 * 3.14 * B4 * B5</f>
        <v>32.083334399999998</v>
      </c>
      <c r="C14" s="14" t="s">
        <v>64</v>
      </c>
      <c r="I14" s="64">
        <f ca="1">B16 * (B6-L16) / B3</f>
        <v>148.19010550314459</v>
      </c>
      <c r="J14" s="58" t="s">
        <v>95</v>
      </c>
      <c r="K14" s="58"/>
      <c r="L14" s="65">
        <f ca="1">(I26 / (B16 * B22 *B20) + (B7 + 460)^4)^(0.25)</f>
        <v>519.17800765802099</v>
      </c>
      <c r="M14" s="51" t="s">
        <v>42</v>
      </c>
    </row>
    <row r="15" spans="1:13">
      <c r="A15" s="13"/>
      <c r="B15" s="26"/>
      <c r="C15" s="14"/>
      <c r="I15" s="43"/>
      <c r="J15" s="58"/>
      <c r="K15" s="58"/>
      <c r="L15" s="58"/>
      <c r="M15" s="51"/>
    </row>
    <row r="16" spans="1:13" ht="17.25">
      <c r="A16" s="15" t="s">
        <v>63</v>
      </c>
      <c r="B16" s="27">
        <f>B12+B14</f>
        <v>33.478889955555552</v>
      </c>
      <c r="C16" s="16" t="s">
        <v>64</v>
      </c>
      <c r="I16" s="56" t="s">
        <v>98</v>
      </c>
      <c r="J16" s="58"/>
      <c r="K16" s="58"/>
      <c r="L16" s="65">
        <f ca="1">L14-460</f>
        <v>59.178007658020988</v>
      </c>
      <c r="M16" s="51" t="s">
        <v>41</v>
      </c>
    </row>
    <row r="17" spans="1:13">
      <c r="I17" s="64">
        <f ca="1">B14 * 0.29 * ((L16-B7)/B5)^(0.25) * (L16-B7)</f>
        <v>33.403060265182845</v>
      </c>
      <c r="J17" s="58" t="s">
        <v>95</v>
      </c>
      <c r="K17" s="58"/>
      <c r="L17" s="58"/>
      <c r="M17" s="51"/>
    </row>
    <row r="18" spans="1:13">
      <c r="A18" s="34" t="s">
        <v>69</v>
      </c>
      <c r="B18" s="36"/>
      <c r="C18" s="35"/>
      <c r="I18" s="43"/>
      <c r="J18" s="58"/>
      <c r="K18" s="58"/>
      <c r="L18" s="58"/>
      <c r="M18" s="51"/>
    </row>
    <row r="19" spans="1:13">
      <c r="A19" s="30"/>
      <c r="B19" s="37"/>
      <c r="C19" s="31"/>
      <c r="I19" s="56" t="s">
        <v>99</v>
      </c>
      <c r="J19" s="58"/>
      <c r="K19" s="58"/>
      <c r="L19" s="58"/>
      <c r="M19" s="51"/>
    </row>
    <row r="20" spans="1:13">
      <c r="A20" s="30" t="s">
        <v>65</v>
      </c>
      <c r="B20" s="38">
        <v>0.85</v>
      </c>
      <c r="C20" s="31" t="s">
        <v>66</v>
      </c>
      <c r="I20" s="64">
        <f ca="1">B12 * 0.27 * ((L16-B7)/(0.9 * 2 * B4))^(0.25) * (L16-B7)</f>
        <v>2.1504389726223372</v>
      </c>
      <c r="J20" s="58" t="s">
        <v>95</v>
      </c>
      <c r="K20" s="58"/>
      <c r="L20" s="58"/>
      <c r="M20" s="51"/>
    </row>
    <row r="21" spans="1:13">
      <c r="A21" s="30"/>
      <c r="B21" s="37"/>
      <c r="C21" s="31"/>
      <c r="I21" s="43"/>
      <c r="J21" s="58"/>
      <c r="K21" s="58"/>
      <c r="L21" s="58"/>
      <c r="M21" s="51"/>
    </row>
    <row r="22" spans="1:13" ht="17.25">
      <c r="A22" s="32" t="s">
        <v>67</v>
      </c>
      <c r="B22" s="39">
        <v>1.713E-9</v>
      </c>
      <c r="C22" s="33" t="s">
        <v>68</v>
      </c>
      <c r="I22" s="56" t="s">
        <v>100</v>
      </c>
      <c r="J22" s="58"/>
      <c r="K22" s="58"/>
      <c r="L22" s="58"/>
      <c r="M22" s="51"/>
    </row>
    <row r="23" spans="1:13">
      <c r="I23" s="64">
        <f ca="1">I17+I20</f>
        <v>35.553499237805184</v>
      </c>
      <c r="J23" s="58" t="s">
        <v>95</v>
      </c>
      <c r="K23" s="58"/>
      <c r="L23" s="58"/>
      <c r="M23" s="51"/>
    </row>
    <row r="24" spans="1:13">
      <c r="A24" s="47" t="s">
        <v>70</v>
      </c>
      <c r="B24" s="48"/>
      <c r="C24" s="49"/>
      <c r="I24" s="43"/>
      <c r="J24" s="58"/>
      <c r="K24" s="58"/>
      <c r="L24" s="58"/>
      <c r="M24" s="51"/>
    </row>
    <row r="25" spans="1:13">
      <c r="A25" s="43" t="s">
        <v>71</v>
      </c>
      <c r="B25" s="50"/>
      <c r="C25" s="51"/>
      <c r="I25" s="56" t="s">
        <v>101</v>
      </c>
      <c r="J25" s="58"/>
      <c r="K25" s="58"/>
      <c r="L25" s="58"/>
      <c r="M25" s="51"/>
    </row>
    <row r="26" spans="1:13">
      <c r="A26" s="43"/>
      <c r="B26" s="50"/>
      <c r="C26" s="51"/>
      <c r="I26" s="66">
        <f ca="1">I14-I23</f>
        <v>112.63660626533941</v>
      </c>
      <c r="J26" s="59" t="s">
        <v>95</v>
      </c>
      <c r="K26" s="59"/>
      <c r="L26" s="59"/>
      <c r="M26" s="55"/>
    </row>
    <row r="27" spans="1:13">
      <c r="A27" s="43" t="s">
        <v>72</v>
      </c>
      <c r="B27" s="50"/>
      <c r="C27" s="51" t="s">
        <v>73</v>
      </c>
    </row>
    <row r="28" spans="1:13" ht="18">
      <c r="A28" s="43" t="s">
        <v>74</v>
      </c>
      <c r="B28" s="50">
        <v>70</v>
      </c>
      <c r="C28" s="51" t="s">
        <v>41</v>
      </c>
      <c r="I28" s="62" t="s">
        <v>102</v>
      </c>
    </row>
    <row r="29" spans="1:13">
      <c r="A29" s="43" t="s">
        <v>75</v>
      </c>
      <c r="B29" s="50">
        <v>65</v>
      </c>
      <c r="C29" s="51" t="s">
        <v>41</v>
      </c>
      <c r="I29" s="41" t="s">
        <v>103</v>
      </c>
    </row>
    <row r="30" spans="1:13">
      <c r="A30" s="43" t="s">
        <v>76</v>
      </c>
      <c r="B30" s="50">
        <v>4</v>
      </c>
      <c r="C30" s="51" t="s">
        <v>38</v>
      </c>
      <c r="I30" s="4" t="s">
        <v>104</v>
      </c>
    </row>
    <row r="31" spans="1:13">
      <c r="A31" s="43" t="s">
        <v>77</v>
      </c>
      <c r="B31" s="50">
        <v>1.5</v>
      </c>
      <c r="C31" s="51" t="s">
        <v>38</v>
      </c>
      <c r="I31" s="40">
        <f ca="1">B16*B20*B22*(L14^4 -(B7+460)^4)</f>
        <v>112.63660626534087</v>
      </c>
    </row>
    <row r="32" spans="1:13">
      <c r="A32" s="52" t="s">
        <v>78</v>
      </c>
      <c r="B32" s="50"/>
      <c r="C32" s="51"/>
    </row>
    <row r="33" spans="1:3">
      <c r="A33" s="52" t="s">
        <v>79</v>
      </c>
      <c r="B33" s="50"/>
      <c r="C33" s="51"/>
    </row>
    <row r="34" spans="1:3">
      <c r="A34" s="43"/>
      <c r="B34" s="50"/>
      <c r="C34" s="51"/>
    </row>
    <row r="35" spans="1:3">
      <c r="A35" s="43"/>
      <c r="B35" s="50"/>
      <c r="C35" s="51"/>
    </row>
    <row r="36" spans="1:3">
      <c r="A36" s="43" t="s">
        <v>80</v>
      </c>
      <c r="B36" s="50"/>
      <c r="C36" s="51"/>
    </row>
    <row r="37" spans="1:3" ht="20.25">
      <c r="A37" s="43" t="s">
        <v>81</v>
      </c>
      <c r="B37" s="53">
        <v>563200000</v>
      </c>
      <c r="C37" s="51"/>
    </row>
    <row r="38" spans="1:3">
      <c r="A38" s="43" t="s">
        <v>82</v>
      </c>
      <c r="B38" s="50"/>
      <c r="C38" s="51"/>
    </row>
    <row r="39" spans="1:3" ht="20.25">
      <c r="A39" s="43" t="s">
        <v>83</v>
      </c>
      <c r="B39" s="53">
        <v>11880000</v>
      </c>
      <c r="C39" s="51"/>
    </row>
    <row r="40" spans="1:3">
      <c r="A40" s="43"/>
      <c r="B40" s="50"/>
      <c r="C40" s="51"/>
    </row>
    <row r="41" spans="1:3">
      <c r="A41" s="43" t="s">
        <v>84</v>
      </c>
      <c r="B41" s="50"/>
      <c r="C41" s="51"/>
    </row>
    <row r="42" spans="1:3">
      <c r="A42" s="43" t="s">
        <v>85</v>
      </c>
      <c r="B42" s="50">
        <v>0.72</v>
      </c>
      <c r="C42" s="51"/>
    </row>
    <row r="43" spans="1:3">
      <c r="A43" s="43"/>
      <c r="B43" s="50"/>
      <c r="C43" s="51"/>
    </row>
    <row r="44" spans="1:3">
      <c r="A44" s="43" t="s">
        <v>86</v>
      </c>
      <c r="B44" s="53">
        <v>405504000</v>
      </c>
      <c r="C44" s="51"/>
    </row>
    <row r="45" spans="1:3" ht="17.25">
      <c r="A45" s="43" t="s">
        <v>87</v>
      </c>
      <c r="B45" s="50"/>
      <c r="C45" s="51"/>
    </row>
    <row r="46" spans="1:3" ht="20.25">
      <c r="A46" s="43" t="s">
        <v>88</v>
      </c>
      <c r="B46" s="50"/>
      <c r="C46" s="51"/>
    </row>
    <row r="47" spans="1:3">
      <c r="A47" s="43"/>
      <c r="B47" s="50"/>
      <c r="C47" s="51"/>
    </row>
    <row r="48" spans="1:3">
      <c r="A48" s="43" t="s">
        <v>89</v>
      </c>
      <c r="B48" s="53">
        <v>8553600</v>
      </c>
      <c r="C48" s="51"/>
    </row>
    <row r="49" spans="1:3" ht="17.25">
      <c r="A49" s="43" t="s">
        <v>90</v>
      </c>
      <c r="B49" s="50"/>
      <c r="C49" s="51"/>
    </row>
    <row r="50" spans="1:3" ht="20.25">
      <c r="A50" s="45" t="s">
        <v>91</v>
      </c>
      <c r="B50" s="54"/>
      <c r="C50" s="55"/>
    </row>
  </sheetData>
  <sheetProtection password="8D01" sheet="1" objects="1" scenarios="1"/>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P32"/>
  <sheetViews>
    <sheetView zoomScale="90" zoomScaleNormal="90" workbookViewId="0">
      <selection activeCell="F25" sqref="F25"/>
    </sheetView>
  </sheetViews>
  <sheetFormatPr defaultColWidth="8.85546875" defaultRowHeight="15"/>
  <cols>
    <col min="1" max="1" width="20.140625" style="41" bestFit="1" customWidth="1"/>
    <col min="2" max="2" width="5.5703125" style="42" bestFit="1" customWidth="1"/>
    <col min="3" max="3" width="10.85546875" style="42" bestFit="1" customWidth="1"/>
    <col min="4" max="4" width="8.85546875" style="42"/>
    <col min="5" max="5" width="33.28515625" style="41" bestFit="1" customWidth="1"/>
    <col min="6" max="6" width="13.28515625" style="42" bestFit="1" customWidth="1"/>
    <col min="7" max="7" width="11" style="42" bestFit="1" customWidth="1"/>
    <col min="8" max="8" width="8.85546875" style="41"/>
    <col min="9" max="9" width="26" style="41" bestFit="1" customWidth="1"/>
    <col min="10" max="10" width="8.85546875" style="41"/>
    <col min="11" max="11" width="15.85546875" style="41" bestFit="1" customWidth="1"/>
    <col min="12" max="16384" width="8.85546875" style="41"/>
  </cols>
  <sheetData>
    <row r="1" spans="1:16">
      <c r="A1" s="47" t="s">
        <v>45</v>
      </c>
      <c r="B1" s="48"/>
      <c r="C1" s="61"/>
      <c r="D1" s="50"/>
      <c r="E1" s="47" t="s">
        <v>119</v>
      </c>
      <c r="F1" s="48"/>
      <c r="G1" s="61"/>
      <c r="I1" s="47" t="s">
        <v>162</v>
      </c>
      <c r="J1" s="60"/>
      <c r="K1" s="60"/>
      <c r="L1" s="60"/>
      <c r="M1" s="60"/>
      <c r="N1" s="60"/>
      <c r="O1" s="60"/>
      <c r="P1" s="49"/>
    </row>
    <row r="2" spans="1:16">
      <c r="A2" s="43" t="s">
        <v>187</v>
      </c>
      <c r="B2" s="50">
        <f>'User Input'!B45 / 7</f>
        <v>28.571428571428573</v>
      </c>
      <c r="C2" s="44" t="s">
        <v>20</v>
      </c>
      <c r="D2" s="50"/>
      <c r="E2" s="43" t="s">
        <v>122</v>
      </c>
      <c r="F2" s="50">
        <f>B2*B18</f>
        <v>238.28571428571431</v>
      </c>
      <c r="G2" s="44" t="s">
        <v>131</v>
      </c>
      <c r="I2" s="43" t="s">
        <v>164</v>
      </c>
      <c r="J2" s="90" t="s">
        <v>163</v>
      </c>
      <c r="K2" s="90" t="s">
        <v>165</v>
      </c>
      <c r="L2" s="90" t="s">
        <v>166</v>
      </c>
      <c r="M2" s="90" t="s">
        <v>167</v>
      </c>
      <c r="N2" s="90" t="s">
        <v>169</v>
      </c>
      <c r="O2" s="90" t="s">
        <v>170</v>
      </c>
      <c r="P2" s="91" t="s">
        <v>171</v>
      </c>
    </row>
    <row r="3" spans="1:16">
      <c r="A3" s="43"/>
      <c r="B3" s="50"/>
      <c r="C3" s="44"/>
      <c r="D3" s="50"/>
      <c r="E3" s="43" t="s">
        <v>129</v>
      </c>
      <c r="F3" s="50">
        <f>F2*B16*(B10-B13)</f>
        <v>21445.714285714286</v>
      </c>
      <c r="G3" s="44" t="s">
        <v>132</v>
      </c>
      <c r="I3" s="43" t="s">
        <v>5</v>
      </c>
      <c r="J3" s="50">
        <v>16</v>
      </c>
      <c r="K3" s="50">
        <v>19</v>
      </c>
      <c r="L3" s="50">
        <v>26</v>
      </c>
      <c r="M3" s="50" t="s">
        <v>168</v>
      </c>
      <c r="N3" s="50" t="s">
        <v>168</v>
      </c>
      <c r="O3" s="50">
        <v>21</v>
      </c>
      <c r="P3" s="44">
        <v>17</v>
      </c>
    </row>
    <row r="4" spans="1:16">
      <c r="A4" s="43" t="s">
        <v>115</v>
      </c>
      <c r="B4" s="50">
        <f>'User Input'!B43</f>
        <v>70</v>
      </c>
      <c r="C4" s="44" t="s">
        <v>111</v>
      </c>
      <c r="D4" s="50"/>
      <c r="E4" s="45"/>
      <c r="F4" s="54">
        <f>F3*365</f>
        <v>7827685.7142857146</v>
      </c>
      <c r="G4" s="46" t="s">
        <v>97</v>
      </c>
      <c r="I4" s="43" t="s">
        <v>6</v>
      </c>
      <c r="J4" s="50">
        <v>-10</v>
      </c>
      <c r="K4" s="50">
        <v>-4</v>
      </c>
      <c r="L4" s="50">
        <v>11</v>
      </c>
      <c r="M4" s="50" t="s">
        <v>168</v>
      </c>
      <c r="N4" s="50">
        <v>23</v>
      </c>
      <c r="O4" s="50">
        <v>2</v>
      </c>
      <c r="P4" s="44">
        <v>-6</v>
      </c>
    </row>
    <row r="5" spans="1:16">
      <c r="A5" s="43" t="s">
        <v>116</v>
      </c>
      <c r="B5" s="50">
        <f>'User Input'!B40</f>
        <v>95</v>
      </c>
      <c r="C5" s="44" t="s">
        <v>111</v>
      </c>
      <c r="D5" s="50"/>
      <c r="I5" s="43" t="s">
        <v>7</v>
      </c>
      <c r="J5" s="50">
        <v>15</v>
      </c>
      <c r="K5" s="50">
        <v>19</v>
      </c>
      <c r="L5" s="50">
        <v>28</v>
      </c>
      <c r="M5" s="50" t="s">
        <v>168</v>
      </c>
      <c r="N5" s="50" t="s">
        <v>168</v>
      </c>
      <c r="O5" s="50">
        <v>21</v>
      </c>
      <c r="P5" s="44">
        <v>17</v>
      </c>
    </row>
    <row r="6" spans="1:16">
      <c r="A6" s="43"/>
      <c r="B6" s="50"/>
      <c r="C6" s="44"/>
      <c r="D6" s="50"/>
      <c r="E6" s="47" t="s">
        <v>158</v>
      </c>
      <c r="F6" s="48"/>
      <c r="G6" s="61"/>
      <c r="I6" s="43" t="s">
        <v>8</v>
      </c>
      <c r="J6" s="50">
        <v>26</v>
      </c>
      <c r="K6" s="50">
        <v>27</v>
      </c>
      <c r="L6" s="50">
        <v>32</v>
      </c>
      <c r="M6" s="50" t="s">
        <v>168</v>
      </c>
      <c r="N6" s="50" t="s">
        <v>168</v>
      </c>
      <c r="O6" s="50">
        <v>32</v>
      </c>
      <c r="P6" s="44">
        <v>28</v>
      </c>
    </row>
    <row r="7" spans="1:16">
      <c r="A7" s="43" t="s">
        <v>117</v>
      </c>
      <c r="B7" s="50">
        <f>'User Input'!B42</f>
        <v>500</v>
      </c>
      <c r="C7" s="44" t="s">
        <v>109</v>
      </c>
      <c r="D7" s="50"/>
      <c r="E7" s="43" t="s">
        <v>133</v>
      </c>
      <c r="F7" s="50">
        <f>F4 / (B4/100)</f>
        <v>11182408.163265307</v>
      </c>
      <c r="G7" s="44" t="s">
        <v>97</v>
      </c>
      <c r="I7" s="43" t="s">
        <v>9</v>
      </c>
      <c r="J7" s="50">
        <v>26</v>
      </c>
      <c r="K7" s="50">
        <v>29</v>
      </c>
      <c r="L7" s="50" t="s">
        <v>168</v>
      </c>
      <c r="M7" s="50" t="s">
        <v>168</v>
      </c>
      <c r="N7" s="50" t="s">
        <v>168</v>
      </c>
      <c r="O7" s="50" t="s">
        <v>168</v>
      </c>
      <c r="P7" s="44">
        <v>29</v>
      </c>
    </row>
    <row r="8" spans="1:16">
      <c r="A8" s="43" t="s">
        <v>118</v>
      </c>
      <c r="B8" s="50">
        <f>'User Input'!B39</f>
        <v>1000</v>
      </c>
      <c r="C8" s="44" t="s">
        <v>109</v>
      </c>
      <c r="D8" s="50"/>
      <c r="E8" s="45" t="s">
        <v>134</v>
      </c>
      <c r="F8" s="54">
        <f>F4 / (B5/100)</f>
        <v>8239669.1729323315</v>
      </c>
      <c r="G8" s="46" t="s">
        <v>97</v>
      </c>
      <c r="I8" s="43"/>
      <c r="J8" s="58"/>
      <c r="K8" s="58"/>
      <c r="L8" s="58"/>
      <c r="M8" s="58"/>
      <c r="N8" s="58"/>
      <c r="O8" s="58"/>
      <c r="P8" s="51"/>
    </row>
    <row r="9" spans="1:16">
      <c r="A9" s="43"/>
      <c r="B9" s="50"/>
      <c r="C9" s="44"/>
      <c r="D9" s="50"/>
      <c r="I9" s="43" t="s">
        <v>172</v>
      </c>
      <c r="J9" s="50">
        <v>0.1</v>
      </c>
      <c r="K9" s="58" t="s">
        <v>173</v>
      </c>
      <c r="L9" s="58"/>
      <c r="M9" s="58"/>
      <c r="N9" s="58"/>
      <c r="O9" s="58"/>
      <c r="P9" s="51"/>
    </row>
    <row r="10" spans="1:16">
      <c r="A10" s="67" t="s">
        <v>130</v>
      </c>
      <c r="B10" s="54">
        <f>'User Input'!B16</f>
        <v>130</v>
      </c>
      <c r="C10" s="46" t="s">
        <v>41</v>
      </c>
      <c r="D10" s="50"/>
      <c r="E10" s="47" t="s">
        <v>136</v>
      </c>
      <c r="F10" s="48"/>
      <c r="G10" s="61"/>
      <c r="I10" s="43"/>
      <c r="J10" s="58"/>
      <c r="K10" s="58"/>
      <c r="L10" s="58"/>
      <c r="M10" s="58"/>
      <c r="N10" s="58"/>
      <c r="O10" s="58"/>
      <c r="P10" s="51"/>
    </row>
    <row r="11" spans="1:16">
      <c r="E11" s="43" t="s">
        <v>133</v>
      </c>
      <c r="F11" s="26">
        <f ca="1">'User Input'!B22</f>
        <v>1298145.3242075467</v>
      </c>
      <c r="G11" s="44" t="s">
        <v>97</v>
      </c>
      <c r="I11" s="43" t="s">
        <v>5</v>
      </c>
      <c r="J11" s="58">
        <f>((32-J3)/10 * 31 + (32-K3)/10 * 28 + (32-L3)/10 * 31 + (32 - O3)/10 * 31 + (32 - P3)/10 * 31) * J9</f>
        <v>18.52</v>
      </c>
      <c r="K11" s="58" t="s">
        <v>174</v>
      </c>
      <c r="L11" s="58">
        <f>J11*'AkWarm 2011 Prices'!B3</f>
        <v>2.1370228</v>
      </c>
      <c r="M11" s="58" t="s">
        <v>139</v>
      </c>
      <c r="N11" s="58"/>
      <c r="O11" s="58"/>
      <c r="P11" s="51"/>
    </row>
    <row r="12" spans="1:16">
      <c r="A12" s="47" t="s">
        <v>120</v>
      </c>
      <c r="B12" s="48"/>
      <c r="C12" s="61"/>
      <c r="D12" s="50"/>
      <c r="E12" s="67" t="s">
        <v>186</v>
      </c>
      <c r="F12" s="54">
        <f ca="1">F11*C23</f>
        <v>1189966.5471902511</v>
      </c>
      <c r="G12" s="46" t="s">
        <v>97</v>
      </c>
      <c r="I12" s="43" t="s">
        <v>6</v>
      </c>
      <c r="J12" s="58">
        <f>((32-J4)/10 * 31 + (32-K4)/10 * 28 + (32 - L4) * 31 + (32 - N4)/10 * 31 + (32 - O4)/10 * 30 + (32 - P4)/10 * 31) * J9</f>
        <v>111.77000000000001</v>
      </c>
      <c r="K12" s="58" t="s">
        <v>174</v>
      </c>
      <c r="L12" s="58">
        <f>J12*'AkWarm 2011 Prices'!C3</f>
        <v>22.056691800000003</v>
      </c>
      <c r="M12" s="58" t="s">
        <v>139</v>
      </c>
      <c r="N12" s="58"/>
      <c r="O12" s="58"/>
      <c r="P12" s="51"/>
    </row>
    <row r="13" spans="1:16">
      <c r="A13" s="67" t="s">
        <v>121</v>
      </c>
      <c r="B13" s="54">
        <v>40</v>
      </c>
      <c r="C13" s="46" t="s">
        <v>41</v>
      </c>
      <c r="D13" s="50"/>
      <c r="I13" s="43" t="s">
        <v>7</v>
      </c>
      <c r="J13" s="58">
        <f>((32 - J5)/10 * 31 + (32-K5)/10 * 28 + (32-L5)/10 * 31 + (32 - O5)/10 * 30 + (32 - P5)/10 * 31) *J9</f>
        <v>18.100000000000001</v>
      </c>
      <c r="K13" s="58" t="s">
        <v>174</v>
      </c>
      <c r="L13" s="58">
        <f>'AkWarm 2011 Prices'!D3</f>
        <v>7.6590000000000005E-2</v>
      </c>
      <c r="M13" s="58" t="s">
        <v>139</v>
      </c>
      <c r="N13" s="58"/>
      <c r="O13" s="58"/>
      <c r="P13" s="51"/>
    </row>
    <row r="14" spans="1:16">
      <c r="I14" s="43" t="s">
        <v>8</v>
      </c>
      <c r="J14" s="58">
        <f>((32 - J6)/10 * 31 + (32 - K6)/10 * 28 + (32 - P6)/10 * 31) * J9</f>
        <v>4.4999999999999991</v>
      </c>
      <c r="K14" s="58" t="s">
        <v>174</v>
      </c>
      <c r="L14" s="58">
        <f>J14*'AkWarm 2011 Prices'!E3</f>
        <v>0.67004999999999992</v>
      </c>
      <c r="M14" s="58" t="s">
        <v>139</v>
      </c>
      <c r="N14" s="58"/>
      <c r="O14" s="58"/>
      <c r="P14" s="51"/>
    </row>
    <row r="15" spans="1:16">
      <c r="A15" s="47" t="s">
        <v>123</v>
      </c>
      <c r="B15" s="48"/>
      <c r="C15" s="61"/>
      <c r="I15" s="43" t="s">
        <v>9</v>
      </c>
      <c r="J15" s="58">
        <f>((32 - J7)/10 * 31 + (32 - K7)/10 * 28 + (32 - 29)/10 * 31) * J9</f>
        <v>3.63</v>
      </c>
      <c r="K15" s="58" t="s">
        <v>174</v>
      </c>
      <c r="L15" s="58">
        <f>J15*'AkWarm 2011 Prices'!F3</f>
        <v>0.39929999999999999</v>
      </c>
      <c r="M15" s="58" t="s">
        <v>139</v>
      </c>
      <c r="N15" s="58"/>
      <c r="O15" s="58"/>
      <c r="P15" s="51"/>
    </row>
    <row r="16" spans="1:16">
      <c r="A16" s="68" t="s">
        <v>124</v>
      </c>
      <c r="B16" s="50">
        <v>1</v>
      </c>
      <c r="C16" s="44" t="s">
        <v>127</v>
      </c>
      <c r="E16" s="47" t="s">
        <v>137</v>
      </c>
      <c r="F16" s="48"/>
      <c r="G16" s="61"/>
      <c r="I16" s="43"/>
      <c r="J16" s="58"/>
      <c r="K16" s="58"/>
      <c r="L16" s="58"/>
      <c r="M16" s="58"/>
      <c r="N16" s="58"/>
      <c r="O16" s="58"/>
      <c r="P16" s="51"/>
    </row>
    <row r="17" spans="1:16" ht="17.25">
      <c r="A17" s="68" t="s">
        <v>125</v>
      </c>
      <c r="B17" s="50">
        <v>62.4</v>
      </c>
      <c r="C17" s="44" t="s">
        <v>150</v>
      </c>
      <c r="E17" s="68" t="s">
        <v>133</v>
      </c>
      <c r="F17" s="26">
        <f ca="1">IF('User Input'!B2 = "Fairbanks",  F7-F4-F12,F7-F4-F11)</f>
        <v>2164755.9017893411</v>
      </c>
      <c r="G17" s="44" t="s">
        <v>97</v>
      </c>
      <c r="I17" s="43" t="s">
        <v>176</v>
      </c>
      <c r="J17" s="58"/>
      <c r="K17" s="58"/>
      <c r="L17" s="58"/>
      <c r="M17" s="58"/>
      <c r="N17" s="58"/>
      <c r="O17" s="58"/>
      <c r="P17" s="51"/>
    </row>
    <row r="18" spans="1:16">
      <c r="A18" s="67" t="s">
        <v>126</v>
      </c>
      <c r="B18" s="54">
        <v>8.34</v>
      </c>
      <c r="C18" s="46" t="s">
        <v>128</v>
      </c>
      <c r="E18" s="43"/>
      <c r="F18" s="50">
        <f ca="1">IF('User Input'!B3="Electricity",F17/3413,IF('User Input'!B3="Fuel Oil No. 1",F17/132000,IF('User Input'!B3="Fuel Oil No. 2",F17/138000,IF('User Input'!B3="Natural Gas",F17/100000,IF('User Input'!B3="Propane",F17/91800)))))</f>
        <v>16.399665922646523</v>
      </c>
      <c r="G18" s="44" t="str">
        <f>IF('User Input'!B3="Electricity","kWh/year",IF('User Input'!B3="Fuel Oil No. 1","gallons/year",IF('User Input'!B3="Fuel Oil No. 2","gallons/year",IF('User Input'!B3="Natural Gas","CCF/year",IF('User Input'!B3="Propane","gallons/year")))))</f>
        <v>gallons/year</v>
      </c>
      <c r="I18" s="45" t="str">
        <f>'User Input'!B2</f>
        <v>Fairbanks</v>
      </c>
      <c r="J18" s="59">
        <f>IF('User Input'!B2="Anchorage",'Payback Calculations'!L11, IF('User Input'!B2 = "Fairbanks",'Payback Calculations'!L12, IF('User Input'!B2="Wasilla", 'Payback Calculations'!L13, IF('User Input'!B2="Seward", 'Payback Calculations'!L14, IF('User Input'!B2="Juneau",'Payback Calculations'!L15,0)))))</f>
        <v>22.056691800000003</v>
      </c>
      <c r="K18" s="59" t="s">
        <v>139</v>
      </c>
      <c r="L18" s="59"/>
      <c r="M18" s="59"/>
      <c r="N18" s="59"/>
      <c r="O18" s="59"/>
      <c r="P18" s="55"/>
    </row>
    <row r="19" spans="1:16">
      <c r="E19" s="43"/>
      <c r="F19" s="50"/>
      <c r="G19" s="44"/>
      <c r="I19" s="62"/>
    </row>
    <row r="20" spans="1:16">
      <c r="A20" s="47" t="s">
        <v>159</v>
      </c>
      <c r="B20" s="48"/>
      <c r="C20" s="61"/>
      <c r="E20" s="43" t="s">
        <v>134</v>
      </c>
      <c r="F20" s="50">
        <f>F8-F4</f>
        <v>411983.4586466169</v>
      </c>
      <c r="G20" s="44" t="s">
        <v>97</v>
      </c>
    </row>
    <row r="21" spans="1:16">
      <c r="A21" s="68" t="s">
        <v>161</v>
      </c>
      <c r="B21" s="50"/>
      <c r="C21" s="44" t="s">
        <v>160</v>
      </c>
      <c r="E21" s="43"/>
      <c r="F21" s="50">
        <f>IF('User Input'!B3="Electricity",F20/3413,IF('User Input'!B3="Fuel Oil No. 1",F20/132000,IF('User Input'!B3="Fuel Oil No. 2",F20/138000,IF('User Input'!B3="Natural Gas",F20/100000,IF('User Input'!B3="Propane",F20/91800)))))</f>
        <v>3.1210868079289158</v>
      </c>
      <c r="G21" s="44" t="str">
        <f>IF('User Input'!B3="Electricity","kWh/year",IF('User Input'!B3="Fuel Oil No. 1","gallons/year",IF('User Input'!B3="Fuel Oil No. 2","gallons/year",IF('User Input'!B3="Natural Gas","CCF/year",IF('User Input'!B3="Propane","gallons/year")))))</f>
        <v>gallons/year</v>
      </c>
    </row>
    <row r="22" spans="1:16">
      <c r="A22" s="68" t="s">
        <v>5</v>
      </c>
      <c r="B22" s="50">
        <v>0</v>
      </c>
      <c r="C22" s="44">
        <v>1</v>
      </c>
      <c r="E22" s="43"/>
      <c r="F22" s="50"/>
      <c r="G22" s="44"/>
    </row>
    <row r="23" spans="1:16">
      <c r="A23" s="68" t="s">
        <v>6</v>
      </c>
      <c r="B23" s="50">
        <v>1</v>
      </c>
      <c r="C23" s="44">
        <f>11/12</f>
        <v>0.91666666666666663</v>
      </c>
      <c r="E23" s="43" t="s">
        <v>138</v>
      </c>
      <c r="F23" s="50">
        <f ca="1">F18-F21</f>
        <v>13.278579114717608</v>
      </c>
      <c r="G23" s="44" t="str">
        <f>IF('User Input'!B3="Electricity","kWh/year",IF('User Input'!B3="Fuel Oil No. 1","gallons/year",IF('User Input'!B3="Fuel Oil No. 2","gallons/year",IF('User Input'!B3="Natural Gas","CCF/year",IF('User Input'!B3="Propane","gallons/year")))))</f>
        <v>gallons/year</v>
      </c>
    </row>
    <row r="24" spans="1:16">
      <c r="A24" s="68" t="s">
        <v>7</v>
      </c>
      <c r="B24" s="50">
        <v>0</v>
      </c>
      <c r="C24" s="44">
        <v>1</v>
      </c>
      <c r="E24" s="43"/>
      <c r="F24" s="50">
        <f ca="1">IF('User Input'!B4 = "Yes", F23 * 'User Input'!B5, IF('User Input'!B4 = "Use default value from AkWarm 2011", F23 * 'User Input'!B6, ""))</f>
        <v>66.392895573588049</v>
      </c>
      <c r="G24" s="44" t="s">
        <v>139</v>
      </c>
    </row>
    <row r="25" spans="1:16">
      <c r="A25" s="68" t="s">
        <v>8</v>
      </c>
      <c r="B25" s="50">
        <v>0</v>
      </c>
      <c r="C25" s="44">
        <v>1</v>
      </c>
      <c r="E25" s="45" t="s">
        <v>175</v>
      </c>
      <c r="F25" s="92">
        <f ca="1">F24-J18</f>
        <v>44.336203773588046</v>
      </c>
      <c r="G25" s="46" t="s">
        <v>139</v>
      </c>
    </row>
    <row r="26" spans="1:16">
      <c r="A26" s="67" t="s">
        <v>9</v>
      </c>
      <c r="B26" s="54">
        <v>0</v>
      </c>
      <c r="C26" s="46">
        <v>1</v>
      </c>
    </row>
    <row r="28" spans="1:16">
      <c r="E28" s="47" t="s">
        <v>140</v>
      </c>
      <c r="F28" s="48"/>
      <c r="G28" s="61"/>
      <c r="I28" s="47" t="s">
        <v>179</v>
      </c>
      <c r="J28" s="49"/>
    </row>
    <row r="29" spans="1:16">
      <c r="E29" s="43" t="s">
        <v>141</v>
      </c>
      <c r="F29" s="50">
        <f>B8-B7</f>
        <v>500</v>
      </c>
      <c r="G29" s="44" t="s">
        <v>109</v>
      </c>
      <c r="I29" s="43" t="s">
        <v>180</v>
      </c>
      <c r="J29" s="51" t="b">
        <f ca="1">ISNUMBER(F25)</f>
        <v>1</v>
      </c>
    </row>
    <row r="30" spans="1:16">
      <c r="E30" s="43"/>
      <c r="F30" s="50"/>
      <c r="G30" s="44"/>
      <c r="I30" s="45" t="s">
        <v>181</v>
      </c>
      <c r="J30" s="55" t="b">
        <f ca="1">ISNUMBER(F31)</f>
        <v>1</v>
      </c>
    </row>
    <row r="31" spans="1:16">
      <c r="E31" s="45" t="s">
        <v>142</v>
      </c>
      <c r="F31" s="54">
        <f ca="1">F29/F25</f>
        <v>11.277465309239215</v>
      </c>
      <c r="G31" s="46" t="s">
        <v>114</v>
      </c>
      <c r="I31" s="4"/>
    </row>
    <row r="32" spans="1:16">
      <c r="I32" s="4"/>
    </row>
  </sheetData>
  <sheetProtection password="8D01" sheet="1" objects="1" scenarios="1"/>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dimension ref="A1:J7"/>
  <sheetViews>
    <sheetView zoomScale="75" zoomScaleNormal="75" workbookViewId="0">
      <selection activeCell="I16" sqref="I16"/>
    </sheetView>
  </sheetViews>
  <sheetFormatPr defaultRowHeight="15"/>
  <cols>
    <col min="1" max="1" width="11.85546875" bestFit="1" customWidth="1"/>
    <col min="2" max="2" width="9.7109375" bestFit="1" customWidth="1"/>
    <col min="9" max="9" width="32" bestFit="1" customWidth="1"/>
  </cols>
  <sheetData>
    <row r="1" spans="1:10">
      <c r="A1" s="1"/>
      <c r="B1" s="1"/>
      <c r="C1" s="1"/>
      <c r="D1" s="1"/>
      <c r="E1" s="1"/>
      <c r="F1" s="1"/>
      <c r="G1" s="1" t="s">
        <v>4</v>
      </c>
      <c r="H1" s="1"/>
      <c r="I1" s="1"/>
      <c r="J1" s="1"/>
    </row>
    <row r="2" spans="1:10">
      <c r="A2" s="1"/>
      <c r="B2" s="1" t="s">
        <v>5</v>
      </c>
      <c r="C2" s="1" t="s">
        <v>6</v>
      </c>
      <c r="D2" s="1" t="s">
        <v>7</v>
      </c>
      <c r="E2" s="1" t="s">
        <v>8</v>
      </c>
      <c r="F2" s="1" t="s">
        <v>9</v>
      </c>
      <c r="G2" s="1"/>
      <c r="H2" s="1"/>
      <c r="I2" s="1"/>
      <c r="J2" s="1"/>
    </row>
    <row r="3" spans="1:10">
      <c r="A3" s="1" t="s">
        <v>10</v>
      </c>
      <c r="B3" s="1">
        <v>0.11538999999999999</v>
      </c>
      <c r="C3" s="1">
        <v>0.19734000000000002</v>
      </c>
      <c r="D3" s="1">
        <v>7.6590000000000005E-2</v>
      </c>
      <c r="E3" s="1">
        <v>0.1489</v>
      </c>
      <c r="F3" s="1">
        <v>0.11</v>
      </c>
      <c r="G3" s="1" t="s">
        <v>11</v>
      </c>
      <c r="H3" s="1"/>
      <c r="I3" s="1"/>
      <c r="J3" s="1"/>
    </row>
    <row r="4" spans="1:10">
      <c r="A4" s="1" t="s">
        <v>12</v>
      </c>
      <c r="B4" s="1">
        <v>3.78</v>
      </c>
      <c r="C4" s="1">
        <v>3.93</v>
      </c>
      <c r="D4" s="1">
        <v>3.88</v>
      </c>
      <c r="E4" s="1">
        <v>3.98</v>
      </c>
      <c r="F4" s="1">
        <v>4.53</v>
      </c>
      <c r="G4" s="1" t="s">
        <v>13</v>
      </c>
      <c r="H4" s="1"/>
      <c r="I4" s="1"/>
      <c r="J4" s="1"/>
    </row>
    <row r="5" spans="1:10">
      <c r="A5" s="1" t="s">
        <v>14</v>
      </c>
      <c r="B5" s="1">
        <v>3.78</v>
      </c>
      <c r="C5" s="1">
        <v>3.93</v>
      </c>
      <c r="D5" s="1">
        <v>3.88</v>
      </c>
      <c r="E5" s="1">
        <v>3.98</v>
      </c>
      <c r="F5" s="1">
        <v>4.53</v>
      </c>
      <c r="G5" s="1" t="s">
        <v>13</v>
      </c>
      <c r="H5" s="1"/>
      <c r="I5" s="1"/>
      <c r="J5" s="1"/>
    </row>
    <row r="6" spans="1:10">
      <c r="A6" s="1" t="s">
        <v>15</v>
      </c>
      <c r="B6" s="1">
        <v>0.68418999999999996</v>
      </c>
      <c r="C6" s="1">
        <v>2.335</v>
      </c>
      <c r="D6" s="1">
        <v>0.68418999999999996</v>
      </c>
      <c r="E6" s="1">
        <v>0.68418999999999996</v>
      </c>
      <c r="F6" s="1">
        <v>0.68418999999999996</v>
      </c>
      <c r="G6" s="1" t="s">
        <v>16</v>
      </c>
      <c r="H6" s="1"/>
      <c r="I6" s="1"/>
      <c r="J6" s="1"/>
    </row>
    <row r="7" spans="1:10">
      <c r="A7" s="1" t="s">
        <v>17</v>
      </c>
      <c r="B7" s="1">
        <v>5.48</v>
      </c>
      <c r="C7" s="1">
        <v>5.48</v>
      </c>
      <c r="D7" s="1">
        <v>5.78</v>
      </c>
      <c r="E7" s="1">
        <v>5.19</v>
      </c>
      <c r="F7" s="1">
        <v>3.2</v>
      </c>
      <c r="G7" s="1" t="s">
        <v>13</v>
      </c>
      <c r="H7" s="1"/>
      <c r="I7" s="1"/>
      <c r="J7" s="1"/>
    </row>
  </sheetData>
  <sheetProtection password="8D01"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Introduction</vt:lpstr>
      <vt:lpstr>User Input</vt:lpstr>
      <vt:lpstr>Calculate daily water usage</vt:lpstr>
      <vt:lpstr>Inputs for Jacket Loss</vt:lpstr>
      <vt:lpstr>Jacket Loss Calculations</vt:lpstr>
      <vt:lpstr>Payback Calculations</vt:lpstr>
      <vt:lpstr>AkWarm 2011 Prices</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ccchrc</dc:creator>
  <cp:lastModifiedBy>bsrp</cp:lastModifiedBy>
  <cp:lastPrinted>2012-10-10T23:10:47Z</cp:lastPrinted>
  <dcterms:created xsi:type="dcterms:W3CDTF">2012-06-19T19:08:33Z</dcterms:created>
  <dcterms:modified xsi:type="dcterms:W3CDTF">2017-05-22T21:51:30Z</dcterms:modified>
</cp:coreProperties>
</file>